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groupeinextenso-my.sharepoint.com/personal/cecile_blanpain_inextenso_fr/Documents/Bureau/PJ MAIL/SALAISON/indicateur 30 06 2023/SCA CENTRE/"/>
    </mc:Choice>
  </mc:AlternateContent>
  <xr:revisionPtr revIDLastSave="59" documentId="8_{F6CF723A-ECBF-4FEA-80D7-B201B5A04B8D}" xr6:coauthVersionLast="47" xr6:coauthVersionMax="47" xr10:uidLastSave="{78B08FA8-28FC-4052-8441-4B1D1183ED1A}"/>
  <bookViews>
    <workbookView xWindow="-108" yWindow="-108" windowWidth="23256" windowHeight="13896" xr2:uid="{00000000-000D-0000-FFFF-FFFF00000000}"/>
  </bookViews>
  <sheets>
    <sheet name="SCA CENTRE" sheetId="4" r:id="rId1"/>
    <sheet name="Feuil1" sheetId="1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0" i="4" l="1"/>
  <c r="K59" i="4"/>
  <c r="K56" i="4"/>
  <c r="K57" i="4"/>
  <c r="K55" i="4"/>
  <c r="J54" i="4"/>
  <c r="K50" i="4"/>
  <c r="K51" i="4"/>
  <c r="K52" i="4"/>
  <c r="K53" i="4"/>
  <c r="K49" i="4"/>
  <c r="K48" i="4"/>
  <c r="W43" i="4"/>
  <c r="J61" i="4" l="1"/>
  <c r="Y60" i="4"/>
  <c r="X60" i="4"/>
  <c r="W60" i="4"/>
  <c r="W61" i="4" s="1"/>
  <c r="V60" i="4"/>
  <c r="V61" i="4" s="1"/>
  <c r="U60" i="4"/>
  <c r="T60" i="4"/>
  <c r="S60" i="4"/>
  <c r="R60" i="4"/>
  <c r="Q60" i="4"/>
  <c r="P60" i="4"/>
  <c r="O60" i="4"/>
  <c r="N60" i="4"/>
  <c r="M60" i="4"/>
  <c r="L60" i="4"/>
  <c r="Y59" i="4"/>
  <c r="X59" i="4"/>
  <c r="W59" i="4"/>
  <c r="V59" i="4"/>
  <c r="U59" i="4"/>
  <c r="T59" i="4"/>
  <c r="S59" i="4"/>
  <c r="R59" i="4"/>
  <c r="R61" i="4" s="1"/>
  <c r="Q59" i="4"/>
  <c r="Q61" i="4" s="1"/>
  <c r="P59" i="4"/>
  <c r="P61" i="4" s="1"/>
  <c r="O59" i="4"/>
  <c r="O61" i="4" s="1"/>
  <c r="N59" i="4"/>
  <c r="M59" i="4"/>
  <c r="L59" i="4"/>
  <c r="J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Y55" i="4"/>
  <c r="X55" i="4"/>
  <c r="W55" i="4"/>
  <c r="V55" i="4"/>
  <c r="U55" i="4"/>
  <c r="T55" i="4"/>
  <c r="T58" i="4" s="1"/>
  <c r="S55" i="4"/>
  <c r="S58" i="4" s="1"/>
  <c r="R55" i="4"/>
  <c r="R58" i="4" s="1"/>
  <c r="Q55" i="4"/>
  <c r="Q58" i="4" s="1"/>
  <c r="P55" i="4"/>
  <c r="P58" i="4" s="1"/>
  <c r="O55" i="4"/>
  <c r="N55" i="4"/>
  <c r="M55" i="4"/>
  <c r="L55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Q46" i="4"/>
  <c r="M46" i="4"/>
  <c r="Y41" i="4"/>
  <c r="Y46" i="4" s="1"/>
  <c r="X41" i="4"/>
  <c r="W41" i="4"/>
  <c r="V41" i="4"/>
  <c r="U41" i="4"/>
  <c r="T41" i="4"/>
  <c r="S41" i="4"/>
  <c r="R41" i="4"/>
  <c r="Q41" i="4"/>
  <c r="P41" i="4"/>
  <c r="P46" i="4" s="1"/>
  <c r="O41" i="4"/>
  <c r="O46" i="4" s="1"/>
  <c r="N41" i="4"/>
  <c r="M41" i="4"/>
  <c r="L41" i="4"/>
  <c r="T61" i="4" l="1"/>
  <c r="S61" i="4"/>
  <c r="U61" i="4"/>
  <c r="L61" i="4"/>
  <c r="X61" i="4"/>
  <c r="M61" i="4"/>
  <c r="Y61" i="4"/>
  <c r="N61" i="4"/>
  <c r="M58" i="4"/>
  <c r="Y58" i="4"/>
  <c r="N58" i="4"/>
  <c r="O58" i="4"/>
  <c r="L58" i="4"/>
  <c r="X58" i="4"/>
  <c r="U58" i="4"/>
  <c r="V58" i="4"/>
  <c r="W58" i="4"/>
  <c r="L54" i="4"/>
  <c r="X54" i="4"/>
  <c r="O54" i="4"/>
  <c r="N54" i="4"/>
  <c r="M54" i="4"/>
  <c r="Y54" i="4"/>
  <c r="P54" i="4"/>
  <c r="P63" i="4" s="1"/>
  <c r="P65" i="4" s="1"/>
  <c r="P67" i="4" s="1"/>
  <c r="P69" i="4" s="1"/>
  <c r="Q54" i="4"/>
  <c r="Q63" i="4" s="1"/>
  <c r="Q65" i="4" s="1"/>
  <c r="Q67" i="4" s="1"/>
  <c r="Q69" i="4" s="1"/>
  <c r="R54" i="4"/>
  <c r="R63" i="4" s="1"/>
  <c r="R65" i="4" s="1"/>
  <c r="R67" i="4" s="1"/>
  <c r="R69" i="4" s="1"/>
  <c r="V54" i="4"/>
  <c r="W54" i="4"/>
  <c r="T54" i="4"/>
  <c r="T63" i="4" s="1"/>
  <c r="T65" i="4" s="1"/>
  <c r="T67" i="4" s="1"/>
  <c r="T69" i="4" s="1"/>
  <c r="U54" i="4"/>
  <c r="U63" i="4" s="1"/>
  <c r="U65" i="4" s="1"/>
  <c r="U67" i="4" s="1"/>
  <c r="U69" i="4" s="1"/>
  <c r="S54" i="4"/>
  <c r="T46" i="4"/>
  <c r="U46" i="4"/>
  <c r="V46" i="4"/>
  <c r="W46" i="4"/>
  <c r="S46" i="4"/>
  <c r="L46" i="4"/>
  <c r="X46" i="4"/>
  <c r="R46" i="4"/>
  <c r="N46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Y24" i="4"/>
  <c r="X24" i="4"/>
  <c r="W24" i="4"/>
  <c r="V24" i="4"/>
  <c r="Y23" i="4"/>
  <c r="X23" i="4"/>
  <c r="W23" i="4"/>
  <c r="V23" i="4"/>
  <c r="Y21" i="4"/>
  <c r="X21" i="4"/>
  <c r="W21" i="4"/>
  <c r="V21" i="4"/>
  <c r="Y20" i="4"/>
  <c r="X20" i="4"/>
  <c r="W20" i="4"/>
  <c r="V20" i="4"/>
  <c r="Y19" i="4"/>
  <c r="X19" i="4"/>
  <c r="W19" i="4"/>
  <c r="V19" i="4"/>
  <c r="Y17" i="4"/>
  <c r="X17" i="4"/>
  <c r="W17" i="4"/>
  <c r="V17" i="4"/>
  <c r="Y16" i="4"/>
  <c r="X16" i="4"/>
  <c r="W16" i="4"/>
  <c r="V16" i="4"/>
  <c r="Y15" i="4"/>
  <c r="X15" i="4"/>
  <c r="W15" i="4"/>
  <c r="V15" i="4"/>
  <c r="Y14" i="4"/>
  <c r="X14" i="4"/>
  <c r="W14" i="4"/>
  <c r="V14" i="4"/>
  <c r="Y13" i="4"/>
  <c r="X13" i="4"/>
  <c r="W13" i="4"/>
  <c r="V13" i="4"/>
  <c r="Y12" i="4"/>
  <c r="X12" i="4"/>
  <c r="W12" i="4"/>
  <c r="V12" i="4"/>
  <c r="U24" i="4"/>
  <c r="U23" i="4"/>
  <c r="U21" i="4"/>
  <c r="U20" i="4"/>
  <c r="U19" i="4"/>
  <c r="U17" i="4"/>
  <c r="U16" i="4"/>
  <c r="U15" i="4"/>
  <c r="U14" i="4"/>
  <c r="U13" i="4"/>
  <c r="T24" i="4"/>
  <c r="T23" i="4"/>
  <c r="T21" i="4"/>
  <c r="T20" i="4"/>
  <c r="Y22" i="4" s="1"/>
  <c r="T19" i="4"/>
  <c r="T17" i="4"/>
  <c r="T16" i="4"/>
  <c r="T15" i="4"/>
  <c r="T14" i="4"/>
  <c r="T13" i="4"/>
  <c r="U12" i="4"/>
  <c r="T12" i="4"/>
  <c r="S24" i="4"/>
  <c r="S23" i="4"/>
  <c r="X25" i="4" s="1"/>
  <c r="S21" i="4"/>
  <c r="S20" i="4"/>
  <c r="S19" i="4"/>
  <c r="S17" i="4"/>
  <c r="S16" i="4"/>
  <c r="S15" i="4"/>
  <c r="S14" i="4"/>
  <c r="S13" i="4"/>
  <c r="S12" i="4"/>
  <c r="R24" i="4"/>
  <c r="R25" i="4" s="1"/>
  <c r="R23" i="4"/>
  <c r="R21" i="4"/>
  <c r="R20" i="4"/>
  <c r="R19" i="4"/>
  <c r="R22" i="4" s="1"/>
  <c r="R17" i="4"/>
  <c r="R16" i="4"/>
  <c r="R15" i="4"/>
  <c r="R14" i="4"/>
  <c r="R18" i="4" s="1"/>
  <c r="R13" i="4"/>
  <c r="R12" i="4"/>
  <c r="Q24" i="4"/>
  <c r="Q23" i="4"/>
  <c r="Q21" i="4"/>
  <c r="Q20" i="4"/>
  <c r="Q19" i="4"/>
  <c r="Q17" i="4"/>
  <c r="Q16" i="4"/>
  <c r="Q15" i="4"/>
  <c r="Q14" i="4"/>
  <c r="Q13" i="4"/>
  <c r="Q12" i="4"/>
  <c r="P24" i="4"/>
  <c r="P25" i="4" s="1"/>
  <c r="P23" i="4"/>
  <c r="P21" i="4"/>
  <c r="P20" i="4"/>
  <c r="P19" i="4"/>
  <c r="P13" i="4"/>
  <c r="P14" i="4"/>
  <c r="P15" i="4"/>
  <c r="P16" i="4"/>
  <c r="U18" i="4" s="1"/>
  <c r="P17" i="4"/>
  <c r="P12" i="4"/>
  <c r="O13" i="4"/>
  <c r="O14" i="4"/>
  <c r="O15" i="4"/>
  <c r="O16" i="4"/>
  <c r="O17" i="4"/>
  <c r="P18" i="4"/>
  <c r="Q18" i="4"/>
  <c r="Q22" i="4"/>
  <c r="T25" i="4"/>
  <c r="Y25" i="4"/>
  <c r="S25" i="4"/>
  <c r="P5" i="4"/>
  <c r="Q5" i="4"/>
  <c r="Q10" i="4" s="1"/>
  <c r="R5" i="4"/>
  <c r="R10" i="4" s="1"/>
  <c r="S5" i="4"/>
  <c r="T5" i="4"/>
  <c r="U5" i="4"/>
  <c r="U10" i="4" s="1"/>
  <c r="V5" i="4"/>
  <c r="V10" i="4" s="1"/>
  <c r="W5" i="4"/>
  <c r="X5" i="4"/>
  <c r="Y5" i="4"/>
  <c r="Y10" i="4" s="1"/>
  <c r="P10" i="4"/>
  <c r="S10" i="4"/>
  <c r="T10" i="4"/>
  <c r="W10" i="4"/>
  <c r="X10" i="4"/>
  <c r="W7" i="4"/>
  <c r="J25" i="4"/>
  <c r="K24" i="4"/>
  <c r="H24" i="4"/>
  <c r="F24" i="4"/>
  <c r="G24" i="4" s="1"/>
  <c r="E24" i="4"/>
  <c r="D24" i="4"/>
  <c r="C24" i="4"/>
  <c r="K23" i="4"/>
  <c r="G23" i="4"/>
  <c r="F23" i="4"/>
  <c r="E23" i="4"/>
  <c r="J22" i="4"/>
  <c r="G22" i="4"/>
  <c r="F22" i="4"/>
  <c r="E22" i="4"/>
  <c r="K21" i="4"/>
  <c r="H21" i="4"/>
  <c r="D21" i="4"/>
  <c r="M20" i="4"/>
  <c r="K20" i="4"/>
  <c r="H20" i="4"/>
  <c r="G20" i="4"/>
  <c r="D20" i="4"/>
  <c r="F20" i="4" s="1"/>
  <c r="C20" i="4"/>
  <c r="K19" i="4"/>
  <c r="F19" i="4"/>
  <c r="G19" i="4" s="1"/>
  <c r="E19" i="4"/>
  <c r="J18" i="4"/>
  <c r="F18" i="4"/>
  <c r="G18" i="4" s="1"/>
  <c r="E18" i="4"/>
  <c r="K17" i="4"/>
  <c r="H17" i="4"/>
  <c r="F17" i="4"/>
  <c r="G17" i="4" s="1"/>
  <c r="D17" i="4"/>
  <c r="E17" i="4" s="1"/>
  <c r="C17" i="4"/>
  <c r="C21" i="4" s="1"/>
  <c r="K16" i="4"/>
  <c r="F16" i="4"/>
  <c r="G16" i="4" s="1"/>
  <c r="E16" i="4"/>
  <c r="K15" i="4"/>
  <c r="F15" i="4"/>
  <c r="G15" i="4" s="1"/>
  <c r="E15" i="4"/>
  <c r="K14" i="4"/>
  <c r="F14" i="4"/>
  <c r="G14" i="4" s="1"/>
  <c r="E14" i="4"/>
  <c r="K13" i="4"/>
  <c r="F13" i="4"/>
  <c r="G13" i="4" s="1"/>
  <c r="E13" i="4"/>
  <c r="K12" i="4"/>
  <c r="F12" i="4"/>
  <c r="G12" i="4" s="1"/>
  <c r="E12" i="4"/>
  <c r="G11" i="4"/>
  <c r="F11" i="4"/>
  <c r="E11" i="4"/>
  <c r="O10" i="4"/>
  <c r="N10" i="4"/>
  <c r="F10" i="4"/>
  <c r="C10" i="4"/>
  <c r="C26" i="4" s="1"/>
  <c r="C30" i="4" s="1"/>
  <c r="D9" i="4"/>
  <c r="D10" i="4" s="1"/>
  <c r="C9" i="4"/>
  <c r="F8" i="4"/>
  <c r="F7" i="4"/>
  <c r="D6" i="4"/>
  <c r="F6" i="4" s="1"/>
  <c r="C6" i="4"/>
  <c r="C32" i="4" s="1"/>
  <c r="C34" i="4" s="1"/>
  <c r="O5" i="4"/>
  <c r="O24" i="4" s="1"/>
  <c r="N5" i="4"/>
  <c r="N23" i="4" s="1"/>
  <c r="M5" i="4"/>
  <c r="M23" i="4" s="1"/>
  <c r="L5" i="4"/>
  <c r="S63" i="4" l="1"/>
  <c r="S65" i="4" s="1"/>
  <c r="S67" i="4" s="1"/>
  <c r="S69" i="4" s="1"/>
  <c r="X63" i="4"/>
  <c r="X65" i="4" s="1"/>
  <c r="X67" i="4" s="1"/>
  <c r="X69" i="4" s="1"/>
  <c r="L63" i="4"/>
  <c r="L65" i="4" s="1"/>
  <c r="L67" i="4" s="1"/>
  <c r="L69" i="4" s="1"/>
  <c r="Y63" i="4"/>
  <c r="Y65" i="4" s="1"/>
  <c r="Y67" i="4" s="1"/>
  <c r="Y69" i="4" s="1"/>
  <c r="M63" i="4"/>
  <c r="M65" i="4" s="1"/>
  <c r="M67" i="4" s="1"/>
  <c r="M69" i="4" s="1"/>
  <c r="N63" i="4"/>
  <c r="N65" i="4" s="1"/>
  <c r="N67" i="4" s="1"/>
  <c r="N69" i="4" s="1"/>
  <c r="O63" i="4"/>
  <c r="O65" i="4" s="1"/>
  <c r="O67" i="4" s="1"/>
  <c r="O69" i="4" s="1"/>
  <c r="W63" i="4"/>
  <c r="W65" i="4" s="1"/>
  <c r="W67" i="4" s="1"/>
  <c r="W69" i="4" s="1"/>
  <c r="V63" i="4"/>
  <c r="V65" i="4" s="1"/>
  <c r="V67" i="4" s="1"/>
  <c r="V69" i="4" s="1"/>
  <c r="T22" i="4"/>
  <c r="X22" i="4"/>
  <c r="W25" i="4"/>
  <c r="W22" i="4"/>
  <c r="W27" i="4" s="1"/>
  <c r="W31" i="4" s="1"/>
  <c r="W33" i="4" s="1"/>
  <c r="W18" i="4"/>
  <c r="V25" i="4"/>
  <c r="U25" i="4"/>
  <c r="P22" i="4"/>
  <c r="U22" i="4"/>
  <c r="P27" i="4"/>
  <c r="P31" i="4" s="1"/>
  <c r="P33" i="4" s="1"/>
  <c r="Y18" i="4"/>
  <c r="Y27" i="4" s="1"/>
  <c r="Y31" i="4" s="1"/>
  <c r="Y33" i="4" s="1"/>
  <c r="T18" i="4"/>
  <c r="T27" i="4" s="1"/>
  <c r="T31" i="4" s="1"/>
  <c r="T33" i="4" s="1"/>
  <c r="V22" i="4"/>
  <c r="X18" i="4"/>
  <c r="R27" i="4"/>
  <c r="R31" i="4" s="1"/>
  <c r="R33" i="4" s="1"/>
  <c r="V18" i="4"/>
  <c r="Q25" i="4"/>
  <c r="Q27" i="4" s="1"/>
  <c r="Q31" i="4" s="1"/>
  <c r="Q33" i="4" s="1"/>
  <c r="S22" i="4"/>
  <c r="S18" i="4"/>
  <c r="S27" i="4" s="1"/>
  <c r="S31" i="4" s="1"/>
  <c r="S33" i="4" s="1"/>
  <c r="M17" i="4"/>
  <c r="M19" i="4"/>
  <c r="M22" i="4" s="1"/>
  <c r="N20" i="4"/>
  <c r="N21" i="4"/>
  <c r="N17" i="4"/>
  <c r="N19" i="4"/>
  <c r="L20" i="4"/>
  <c r="L23" i="4"/>
  <c r="L21" i="4"/>
  <c r="L10" i="4"/>
  <c r="L24" i="4"/>
  <c r="L16" i="4"/>
  <c r="L15" i="4"/>
  <c r="L14" i="4"/>
  <c r="L13" i="4"/>
  <c r="L12" i="4"/>
  <c r="F32" i="4"/>
  <c r="F26" i="4"/>
  <c r="F30" i="4" s="1"/>
  <c r="G30" i="4" s="1"/>
  <c r="L17" i="4"/>
  <c r="F21" i="4"/>
  <c r="G21" i="4" s="1"/>
  <c r="E21" i="4"/>
  <c r="E26" i="4" s="1"/>
  <c r="G6" i="4"/>
  <c r="D26" i="4"/>
  <c r="D30" i="4" s="1"/>
  <c r="G10" i="4"/>
  <c r="G26" i="4" s="1"/>
  <c r="O19" i="4"/>
  <c r="O20" i="4"/>
  <c r="O23" i="4"/>
  <c r="O25" i="4" s="1"/>
  <c r="O21" i="4"/>
  <c r="F9" i="4"/>
  <c r="O12" i="4"/>
  <c r="H26" i="4"/>
  <c r="L19" i="4"/>
  <c r="L22" i="4" s="1"/>
  <c r="M12" i="4"/>
  <c r="M13" i="4"/>
  <c r="M14" i="4"/>
  <c r="M15" i="4"/>
  <c r="M16" i="4"/>
  <c r="E20" i="4"/>
  <c r="M24" i="4"/>
  <c r="M25" i="4" s="1"/>
  <c r="D32" i="4"/>
  <c r="D34" i="4" s="1"/>
  <c r="M10" i="4"/>
  <c r="N12" i="4"/>
  <c r="N13" i="4"/>
  <c r="N14" i="4"/>
  <c r="N15" i="4"/>
  <c r="N16" i="4"/>
  <c r="M21" i="4"/>
  <c r="N24" i="4"/>
  <c r="N25" i="4" s="1"/>
  <c r="Q5" i="1"/>
  <c r="Z5" i="1"/>
  <c r="Z9" i="1" s="1"/>
  <c r="Z24" i="1"/>
  <c r="Z21" i="1"/>
  <c r="X5" i="1"/>
  <c r="X9" i="1" s="1"/>
  <c r="R5" i="1"/>
  <c r="R9" i="1" s="1"/>
  <c r="V27" i="4" l="1"/>
  <c r="V31" i="4" s="1"/>
  <c r="V33" i="4" s="1"/>
  <c r="U27" i="4"/>
  <c r="U31" i="4" s="1"/>
  <c r="U33" i="4" s="1"/>
  <c r="X27" i="4"/>
  <c r="X31" i="4" s="1"/>
  <c r="X33" i="4" s="1"/>
  <c r="N22" i="4"/>
  <c r="M18" i="4"/>
  <c r="M27" i="4"/>
  <c r="M31" i="4" s="1"/>
  <c r="M33" i="4" s="1"/>
  <c r="O22" i="4"/>
  <c r="L18" i="4"/>
  <c r="G32" i="4"/>
  <c r="F34" i="4"/>
  <c r="G34" i="4" s="1"/>
  <c r="L25" i="4"/>
  <c r="N18" i="4"/>
  <c r="N27" i="4" s="1"/>
  <c r="N31" i="4" s="1"/>
  <c r="N33" i="4" s="1"/>
  <c r="H32" i="4"/>
  <c r="H34" i="4" s="1"/>
  <c r="H30" i="4"/>
  <c r="O18" i="4"/>
  <c r="O27" i="4" s="1"/>
  <c r="O31" i="4" s="1"/>
  <c r="O33" i="4" s="1"/>
  <c r="R11" i="1"/>
  <c r="V11" i="1" s="1"/>
  <c r="X12" i="1"/>
  <c r="X14" i="1"/>
  <c r="X19" i="1"/>
  <c r="X11" i="1"/>
  <c r="X13" i="1"/>
  <c r="X20" i="1"/>
  <c r="X16" i="1"/>
  <c r="X22" i="1"/>
  <c r="X15" i="1"/>
  <c r="X18" i="1"/>
  <c r="X23" i="1"/>
  <c r="R14" i="1"/>
  <c r="V14" i="1" s="1"/>
  <c r="R13" i="1"/>
  <c r="V13" i="1" s="1"/>
  <c r="R18" i="1"/>
  <c r="V18" i="1" s="1"/>
  <c r="R15" i="1"/>
  <c r="V15" i="1" s="1"/>
  <c r="R23" i="1"/>
  <c r="V23" i="1" s="1"/>
  <c r="R19" i="1"/>
  <c r="V19" i="1" s="1"/>
  <c r="R20" i="1"/>
  <c r="R16" i="1"/>
  <c r="V16" i="1" s="1"/>
  <c r="R12" i="1"/>
  <c r="V12" i="1" s="1"/>
  <c r="R22" i="1"/>
  <c r="O5" i="1"/>
  <c r="O19" i="1" s="1"/>
  <c r="N5" i="1"/>
  <c r="N11" i="1" s="1"/>
  <c r="M5" i="1"/>
  <c r="M9" i="1" s="1"/>
  <c r="O20" i="1"/>
  <c r="O13" i="1"/>
  <c r="E12" i="1"/>
  <c r="E13" i="1"/>
  <c r="E14" i="1"/>
  <c r="E15" i="1"/>
  <c r="E16" i="1"/>
  <c r="E18" i="1"/>
  <c r="E19" i="1"/>
  <c r="E22" i="1"/>
  <c r="E23" i="1"/>
  <c r="E11" i="1"/>
  <c r="J24" i="1"/>
  <c r="J21" i="1"/>
  <c r="J17" i="1"/>
  <c r="K12" i="1"/>
  <c r="K13" i="1"/>
  <c r="K14" i="1"/>
  <c r="K15" i="1"/>
  <c r="K16" i="1"/>
  <c r="K18" i="1"/>
  <c r="K19" i="1"/>
  <c r="K20" i="1"/>
  <c r="K22" i="1"/>
  <c r="K23" i="1"/>
  <c r="K11" i="1"/>
  <c r="L5" i="1"/>
  <c r="L9" i="1" s="1"/>
  <c r="L27" i="4" l="1"/>
  <c r="L29" i="4" s="1"/>
  <c r="L31" i="4" s="1"/>
  <c r="L33" i="4" s="1"/>
  <c r="N9" i="1"/>
  <c r="X17" i="1"/>
  <c r="R17" i="1"/>
  <c r="V17" i="1"/>
  <c r="R21" i="1"/>
  <c r="V20" i="1"/>
  <c r="X21" i="1" s="1"/>
  <c r="R24" i="1"/>
  <c r="V22" i="1"/>
  <c r="Q12" i="1"/>
  <c r="Q11" i="1"/>
  <c r="Q16" i="1"/>
  <c r="Q13" i="1"/>
  <c r="Q9" i="1"/>
  <c r="Q23" i="1"/>
  <c r="Q18" i="1"/>
  <c r="Q22" i="1"/>
  <c r="Q20" i="1"/>
  <c r="Q14" i="1"/>
  <c r="Z14" i="1" s="1"/>
  <c r="Q19" i="1"/>
  <c r="Q15" i="1"/>
  <c r="L16" i="1"/>
  <c r="L12" i="1"/>
  <c r="M14" i="1"/>
  <c r="L22" i="1"/>
  <c r="M19" i="1"/>
  <c r="L20" i="1"/>
  <c r="L15" i="1"/>
  <c r="M11" i="1"/>
  <c r="M13" i="1"/>
  <c r="M20" i="1"/>
  <c r="L19" i="1"/>
  <c r="L14" i="1"/>
  <c r="M16" i="1"/>
  <c r="M12" i="1"/>
  <c r="M22" i="1"/>
  <c r="L23" i="1"/>
  <c r="L18" i="1"/>
  <c r="L13" i="1"/>
  <c r="M15" i="1"/>
  <c r="M18" i="1"/>
  <c r="M23" i="1"/>
  <c r="O11" i="1"/>
  <c r="O16" i="1"/>
  <c r="O12" i="1"/>
  <c r="O22" i="1"/>
  <c r="O9" i="1"/>
  <c r="O15" i="1"/>
  <c r="O18" i="1"/>
  <c r="O21" i="1" s="1"/>
  <c r="O23" i="1"/>
  <c r="O14" i="1"/>
  <c r="N23" i="1"/>
  <c r="N12" i="1"/>
  <c r="N16" i="1"/>
  <c r="N14" i="1"/>
  <c r="N20" i="1"/>
  <c r="N15" i="1"/>
  <c r="N18" i="1"/>
  <c r="N22" i="1"/>
  <c r="N19" i="1"/>
  <c r="N13" i="1"/>
  <c r="H24" i="1"/>
  <c r="H20" i="1"/>
  <c r="H21" i="1" s="1"/>
  <c r="H17" i="1"/>
  <c r="N21" i="1" l="1"/>
  <c r="Z17" i="1"/>
  <c r="Z26" i="1" s="1"/>
  <c r="Z30" i="1" s="1"/>
  <c r="Z32" i="1" s="1"/>
  <c r="V21" i="1"/>
  <c r="V26" i="1" s="1"/>
  <c r="V28" i="1" s="1"/>
  <c r="U28" i="1" s="1"/>
  <c r="R26" i="1"/>
  <c r="R28" i="1" s="1"/>
  <c r="V24" i="1"/>
  <c r="X24" i="1"/>
  <c r="X26" i="1" s="1"/>
  <c r="Q17" i="1"/>
  <c r="Q21" i="1"/>
  <c r="Q24" i="1"/>
  <c r="M21" i="1"/>
  <c r="M24" i="1"/>
  <c r="L24" i="1"/>
  <c r="L17" i="1"/>
  <c r="L21" i="1"/>
  <c r="M17" i="1"/>
  <c r="M26" i="1" s="1"/>
  <c r="O24" i="1"/>
  <c r="O17" i="1"/>
  <c r="N24" i="1"/>
  <c r="N17" i="1"/>
  <c r="H26" i="1"/>
  <c r="H32" i="1" s="1"/>
  <c r="H34" i="1" s="1"/>
  <c r="F18" i="1"/>
  <c r="G18" i="1" s="1"/>
  <c r="F19" i="1"/>
  <c r="G19" i="1" s="1"/>
  <c r="F22" i="1"/>
  <c r="G22" i="1" s="1"/>
  <c r="F23" i="1"/>
  <c r="G23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F8" i="1"/>
  <c r="D24" i="1"/>
  <c r="E24" i="1" s="1"/>
  <c r="C24" i="1"/>
  <c r="C20" i="1"/>
  <c r="D20" i="1"/>
  <c r="D17" i="1"/>
  <c r="F17" i="1" s="1"/>
  <c r="G17" i="1" s="1"/>
  <c r="C17" i="1"/>
  <c r="C9" i="1"/>
  <c r="C10" i="1" s="1"/>
  <c r="D9" i="1"/>
  <c r="D10" i="1" s="1"/>
  <c r="F10" i="1" s="1"/>
  <c r="G10" i="1" s="1"/>
  <c r="D6" i="1"/>
  <c r="F6" i="1" s="1"/>
  <c r="G6" i="1" s="1"/>
  <c r="C6" i="1"/>
  <c r="X30" i="1" l="1"/>
  <c r="X32" i="1" s="1"/>
  <c r="X28" i="1"/>
  <c r="R30" i="1"/>
  <c r="R32" i="1" s="1"/>
  <c r="M28" i="1"/>
  <c r="M30" i="1" s="1"/>
  <c r="M32" i="1" s="1"/>
  <c r="D21" i="1"/>
  <c r="E17" i="1"/>
  <c r="O26" i="1"/>
  <c r="L26" i="1"/>
  <c r="F20" i="1"/>
  <c r="G20" i="1" s="1"/>
  <c r="E20" i="1"/>
  <c r="N26" i="1"/>
  <c r="Q26" i="1"/>
  <c r="Q28" i="1" s="1"/>
  <c r="S28" i="1" s="1"/>
  <c r="C21" i="1"/>
  <c r="C26" i="1" s="1"/>
  <c r="F24" i="1"/>
  <c r="G24" i="1" s="1"/>
  <c r="H30" i="1"/>
  <c r="D26" i="1"/>
  <c r="F9" i="1"/>
  <c r="C30" i="1" l="1"/>
  <c r="C32" i="1"/>
  <c r="C34" i="1" s="1"/>
  <c r="L28" i="1"/>
  <c r="L30" i="1" s="1"/>
  <c r="L32" i="1" s="1"/>
  <c r="L36" i="1" s="1"/>
  <c r="S29" i="1"/>
  <c r="V5" i="1"/>
  <c r="Q30" i="1"/>
  <c r="Q32" i="1" s="1"/>
  <c r="X34" i="1" s="1"/>
  <c r="N28" i="1"/>
  <c r="N30" i="1" s="1"/>
  <c r="N32" i="1" s="1"/>
  <c r="O28" i="1"/>
  <c r="O30" i="1" s="1"/>
  <c r="O32" i="1" s="1"/>
  <c r="F21" i="1"/>
  <c r="E21" i="1"/>
  <c r="E26" i="1" s="1"/>
  <c r="D32" i="1"/>
  <c r="D34" i="1" s="1"/>
  <c r="D30" i="1"/>
  <c r="V9" i="1" l="1"/>
  <c r="V3" i="1"/>
  <c r="V30" i="1"/>
  <c r="V32" i="1" s="1"/>
  <c r="V34" i="1" s="1"/>
  <c r="R34" i="1"/>
  <c r="G21" i="1"/>
  <c r="G26" i="1" s="1"/>
  <c r="F26" i="1"/>
  <c r="F30" i="1" l="1"/>
  <c r="G30" i="1" s="1"/>
  <c r="F32" i="1"/>
  <c r="F34" i="1" l="1"/>
  <c r="G34" i="1" s="1"/>
  <c r="G32" i="1"/>
</calcChain>
</file>

<file path=xl/sharedStrings.xml><?xml version="1.0" encoding="utf-8"?>
<sst xmlns="http://schemas.openxmlformats.org/spreadsheetml/2006/main" count="156" uniqueCount="62">
  <si>
    <t>SIG</t>
  </si>
  <si>
    <t>VAR STOCK MAT</t>
  </si>
  <si>
    <t>INTERIM</t>
  </si>
  <si>
    <t>TRANSPORT</t>
  </si>
  <si>
    <t>COMMISSION</t>
  </si>
  <si>
    <t>MASSE SALARIALE</t>
  </si>
  <si>
    <t>CHG SOC</t>
  </si>
  <si>
    <t>CHG FISC</t>
  </si>
  <si>
    <t>EDF</t>
  </si>
  <si>
    <t>GAZ</t>
  </si>
  <si>
    <t>AMORTISSEMENT</t>
  </si>
  <si>
    <t>VENTES MARCH</t>
  </si>
  <si>
    <t>PRODUCTION EXO</t>
  </si>
  <si>
    <t>PROD TOTALE</t>
  </si>
  <si>
    <t>ACHAT MARCH</t>
  </si>
  <si>
    <t>ACHAT MAT</t>
  </si>
  <si>
    <t>TOTAL ACHAT</t>
  </si>
  <si>
    <t>CPT DE RT</t>
  </si>
  <si>
    <t>EAU</t>
  </si>
  <si>
    <t>TOTAL CHG EXT</t>
  </si>
  <si>
    <t>TOTAL CHG PERS</t>
  </si>
  <si>
    <t>PETIT EQUIPMT</t>
  </si>
  <si>
    <t>TOTAL CHG INDICATEUR</t>
  </si>
  <si>
    <t>MARGE</t>
  </si>
  <si>
    <t>ECART</t>
  </si>
  <si>
    <t>MARGE % DE CA HT</t>
  </si>
  <si>
    <t>CHARGES % DE CA HT</t>
  </si>
  <si>
    <t>PROGRESSION DES COUTS</t>
  </si>
  <si>
    <t>Prix vte HT</t>
  </si>
  <si>
    <t>REMISE</t>
  </si>
  <si>
    <t>PRIX APRES REMISE</t>
  </si>
  <si>
    <t>COUT DE PRODUCTION</t>
  </si>
  <si>
    <t>%</t>
  </si>
  <si>
    <t>TOTAL CHG INVESTISSEMENTS</t>
  </si>
  <si>
    <t>RESULTAT</t>
  </si>
  <si>
    <t>300/400</t>
  </si>
  <si>
    <t>700/800</t>
  </si>
  <si>
    <t>v1</t>
  </si>
  <si>
    <t>nvl version</t>
  </si>
  <si>
    <t>COUT GLOBAL</t>
  </si>
  <si>
    <t>COUT TOTAL CHG</t>
  </si>
  <si>
    <t>TAUX</t>
  </si>
  <si>
    <t>COUT EMBALLAGE</t>
  </si>
  <si>
    <t>INDICATEUR</t>
  </si>
  <si>
    <t>TAUX BILAN 30/06/2022</t>
  </si>
  <si>
    <t>ARTISANAL 250g 
PRIX A L'UNITÉ</t>
  </si>
  <si>
    <t>ARTISANAL 300/400g 
PRIX AU KG</t>
  </si>
  <si>
    <t>ARTISANAL 700/800g
PRIX AU KG</t>
  </si>
  <si>
    <t>HACHÉ MOYEN 650g
PRIX A L'UNITÉ</t>
  </si>
  <si>
    <t>SAUCISSON FROMAGE DE CHEVRE 200g
PRIX A L'UNITÉ</t>
  </si>
  <si>
    <t>SAUCISSON AUX NOIX 200g
PRIX A L'UNITÉ</t>
  </si>
  <si>
    <t>SAUCISSON PORC ET SANGLIER 200g
PRIX A L'UNITÉ</t>
  </si>
  <si>
    <t>SAUCISSON AUX CEPES 200g
PRIX A L'UNITÉ</t>
  </si>
  <si>
    <t>SAUCISSON AU ROQUEFORT 200g
PRIX A L'UNITÉ</t>
  </si>
  <si>
    <t>SAUCISSON AUX NOISETTES 200g
PRIX A L'UNITÉ</t>
  </si>
  <si>
    <t>SAUCISSON AU BEAUFORT 200g
PRIX A L'UNITÉ</t>
  </si>
  <si>
    <t>LOT SAUCISSONS 4 x 200g HM
PRIX A L'UNITÉ (LOT)</t>
  </si>
  <si>
    <t>SAUCISSON A CUIRE 400g
PRIX A L'UNITÉ</t>
  </si>
  <si>
    <t>SAUCISSON A CUIRE PISTACHÉ 400g
PRIX A L'UNITÉ</t>
  </si>
  <si>
    <t>TAUX BILAN 30/06/2023</t>
  </si>
  <si>
    <t>INDICATEURS 30 06 2022</t>
  </si>
  <si>
    <t>INDICATEURS 30 06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</si>
</sst>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_-* #,##0.00\ _€_-;\-* #,##0.00\ _€_-;_-* &quot;-&quot;??\ _€_-;_-@_-"/>
    <numFmt numFmtId="166" formatCode="_-* #,##0.000_-;\-* #,##0.000_-;_-* &quot;-&quot;??_-;_-@_-"/>
    <numFmt numFmtId="167" formatCode="_-* #,##0.0000000_-;\-* #,##0.0000000_-;_-* &quot;-&quot;??_-;_-@_-"/>
    <numFmt numFmtId="168" formatCode="_-* #,##0.000\ _€_-;\-* #,##0.000\ _€_-;_-* &quot;-&quot;???\ _€_-;_-@_-"/>
    <numFmt numFmtId="169" formatCode="0.0%"/>
    <numFmt numFmtId="170" formatCode="0.000%"/>
    <numFmt numFmtId="171" formatCode="_-* #,##0.0000_-;\-* #,##0.00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B89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9" borderId="0" applyNumberFormat="0" applyBorder="0" applyAlignment="0" applyProtection="0"/>
  </cellStyleXfs>
  <cellXfs count="91">
    <xf numFmtId="0" fontId="0" fillId="0" borderId="0" xfId="0"/>
    <xf numFmtId="0" fontId="0" fillId="2" borderId="1" xfId="0" applyFill="1" applyBorder="1"/>
    <xf numFmtId="14" fontId="2" fillId="2" borderId="1" xfId="0" applyNumberFormat="1" applyFont="1" applyFill="1" applyBorder="1"/>
    <xf numFmtId="0" fontId="2" fillId="2" borderId="1" xfId="0" applyFont="1" applyFill="1" applyBorder="1"/>
    <xf numFmtId="43" fontId="0" fillId="0" borderId="1" xfId="1" applyFont="1" applyBorder="1"/>
    <xf numFmtId="164" fontId="0" fillId="0" borderId="1" xfId="1" applyNumberFormat="1" applyFont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  <xf numFmtId="0" fontId="0" fillId="4" borderId="1" xfId="0" applyFill="1" applyBorder="1"/>
    <xf numFmtId="164" fontId="0" fillId="0" borderId="1" xfId="0" applyNumberFormat="1" applyBorder="1"/>
    <xf numFmtId="10" fontId="0" fillId="0" borderId="1" xfId="2" applyNumberFormat="1" applyFont="1" applyBorder="1"/>
    <xf numFmtId="9" fontId="2" fillId="2" borderId="1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164" fontId="0" fillId="5" borderId="1" xfId="1" applyNumberFormat="1" applyFont="1" applyFill="1" applyBorder="1"/>
    <xf numFmtId="10" fontId="2" fillId="6" borderId="1" xfId="2" applyNumberFormat="1" applyFont="1" applyFill="1" applyBorder="1"/>
    <xf numFmtId="164" fontId="2" fillId="6" borderId="1" xfId="0" applyNumberFormat="1" applyFont="1" applyFill="1" applyBorder="1"/>
    <xf numFmtId="10" fontId="2" fillId="2" borderId="1" xfId="0" applyNumberFormat="1" applyFont="1" applyFill="1" applyBorder="1" applyAlignment="1">
      <alignment horizontal="center"/>
    </xf>
    <xf numFmtId="10" fontId="0" fillId="0" borderId="0" xfId="2" applyNumberFormat="1" applyFont="1"/>
    <xf numFmtId="164" fontId="0" fillId="2" borderId="1" xfId="1" applyNumberFormat="1" applyFont="1" applyFill="1" applyBorder="1"/>
    <xf numFmtId="43" fontId="0" fillId="2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43" fontId="0" fillId="0" borderId="0" xfId="1" applyFont="1"/>
    <xf numFmtId="43" fontId="0" fillId="0" borderId="1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Fill="1" applyBorder="1"/>
    <xf numFmtId="165" fontId="0" fillId="0" borderId="0" xfId="0" applyNumberFormat="1"/>
    <xf numFmtId="165" fontId="3" fillId="7" borderId="1" xfId="0" applyNumberFormat="1" applyFont="1" applyFill="1" applyBorder="1"/>
    <xf numFmtId="43" fontId="3" fillId="7" borderId="1" xfId="1" applyFont="1" applyFill="1" applyBorder="1" applyAlignment="1">
      <alignment horizontal="center" vertical="center"/>
    </xf>
    <xf numFmtId="167" fontId="0" fillId="0" borderId="1" xfId="1" applyNumberFormat="1" applyFont="1" applyBorder="1"/>
    <xf numFmtId="167" fontId="0" fillId="8" borderId="1" xfId="1" applyNumberFormat="1" applyFont="1" applyFill="1" applyBorder="1"/>
    <xf numFmtId="166" fontId="0" fillId="0" borderId="1" xfId="0" applyNumberFormat="1" applyBorder="1"/>
    <xf numFmtId="165" fontId="0" fillId="0" borderId="1" xfId="1" applyNumberFormat="1" applyFont="1" applyBorder="1" applyAlignment="1">
      <alignment horizontal="center" vertical="center"/>
    </xf>
    <xf numFmtId="10" fontId="0" fillId="0" borderId="0" xfId="0" applyNumberFormat="1"/>
    <xf numFmtId="10" fontId="4" fillId="9" borderId="0" xfId="3" applyNumberFormat="1"/>
    <xf numFmtId="168" fontId="0" fillId="0" borderId="0" xfId="0" applyNumberFormat="1" applyFill="1"/>
    <xf numFmtId="10" fontId="0" fillId="0" borderId="0" xfId="2" applyNumberFormat="1" applyFont="1" applyFill="1"/>
    <xf numFmtId="165" fontId="0" fillId="0" borderId="0" xfId="0" applyNumberFormat="1" applyFill="1"/>
    <xf numFmtId="0" fontId="0" fillId="0" borderId="0" xfId="0" applyFill="1"/>
    <xf numFmtId="43" fontId="0" fillId="0" borderId="0" xfId="1" applyFont="1" applyFill="1"/>
    <xf numFmtId="10" fontId="0" fillId="0" borderId="0" xfId="0" applyNumberFormat="1" applyFill="1"/>
    <xf numFmtId="14" fontId="0" fillId="0" borderId="0" xfId="0" applyNumberFormat="1"/>
    <xf numFmtId="170" fontId="0" fillId="0" borderId="0" xfId="0" applyNumberFormat="1" applyFill="1"/>
    <xf numFmtId="43" fontId="3" fillId="7" borderId="1" xfId="1" applyFont="1" applyFill="1" applyBorder="1"/>
    <xf numFmtId="43" fontId="3" fillId="7" borderId="1" xfId="1" applyFont="1" applyFill="1" applyBorder="1" applyAlignment="1">
      <alignment vertical="center"/>
    </xf>
    <xf numFmtId="171" fontId="0" fillId="0" borderId="1" xfId="1" applyNumberFormat="1" applyFont="1" applyBorder="1" applyAlignment="1">
      <alignment horizontal="center" vertical="center"/>
    </xf>
    <xf numFmtId="165" fontId="3" fillId="7" borderId="0" xfId="0" applyNumberFormat="1" applyFont="1" applyFill="1"/>
    <xf numFmtId="43" fontId="0" fillId="0" borderId="0" xfId="0" applyNumberFormat="1" applyFill="1"/>
    <xf numFmtId="2" fontId="0" fillId="0" borderId="1" xfId="0" applyNumberFormat="1" applyBorder="1"/>
    <xf numFmtId="43" fontId="0" fillId="7" borderId="1" xfId="1" applyFont="1" applyFill="1" applyBorder="1"/>
    <xf numFmtId="2" fontId="3" fillId="7" borderId="1" xfId="0" applyNumberFormat="1" applyFont="1" applyFill="1" applyBorder="1"/>
    <xf numFmtId="43" fontId="5" fillId="7" borderId="1" xfId="1" applyFont="1" applyFill="1" applyBorder="1" applyAlignment="1">
      <alignment horizontal="center" vertical="center"/>
    </xf>
    <xf numFmtId="165" fontId="7" fillId="9" borderId="1" xfId="3" applyNumberFormat="1" applyFont="1" applyBorder="1"/>
    <xf numFmtId="43" fontId="7" fillId="9" borderId="1" xfId="3" applyNumberFormat="1" applyFont="1" applyBorder="1"/>
    <xf numFmtId="0" fontId="7" fillId="9" borderId="1" xfId="3" applyFont="1" applyBorder="1"/>
    <xf numFmtId="43" fontId="7" fillId="9" borderId="1" xfId="3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0" fontId="0" fillId="0" borderId="1" xfId="1" applyNumberFormat="1" applyFont="1" applyBorder="1" applyAlignment="1">
      <alignment vertical="center"/>
    </xf>
    <xf numFmtId="169" fontId="0" fillId="0" borderId="1" xfId="2" applyNumberFormat="1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/>
    <xf numFmtId="10" fontId="6" fillId="9" borderId="1" xfId="3" applyNumberFormat="1" applyFont="1" applyBorder="1"/>
    <xf numFmtId="9" fontId="6" fillId="9" borderId="1" xfId="3" applyNumberFormat="1" applyFont="1" applyBorder="1"/>
    <xf numFmtId="171" fontId="0" fillId="0" borderId="0" xfId="1" applyNumberFormat="1" applyFont="1" applyAlignment="1">
      <alignment horizontal="center" vertical="center"/>
    </xf>
    <xf numFmtId="0" fontId="7" fillId="9" borderId="2" xfId="3" applyFont="1" applyBorder="1" applyAlignment="1">
      <alignment horizontal="center"/>
    </xf>
    <xf numFmtId="0" fontId="7" fillId="9" borderId="3" xfId="3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6" fillId="9" borderId="1" xfId="3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0" fontId="7" fillId="9" borderId="2" xfId="3" applyNumberFormat="1" applyFont="1" applyBorder="1" applyAlignment="1">
      <alignment horizontal="center"/>
    </xf>
    <xf numFmtId="10" fontId="7" fillId="9" borderId="3" xfId="3" applyNumberFormat="1" applyFont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10" fontId="3" fillId="7" borderId="2" xfId="2" applyNumberFormat="1" applyFont="1" applyFill="1" applyBorder="1" applyAlignment="1">
      <alignment horizontal="center"/>
    </xf>
    <xf numFmtId="10" fontId="3" fillId="7" borderId="3" xfId="2" applyNumberFormat="1" applyFont="1" applyFill="1" applyBorder="1" applyAlignment="1">
      <alignment horizontal="center"/>
    </xf>
  </cellXfs>
  <cellStyles count="4">
    <cellStyle name="Milliers" xfId="1" builtinId="3"/>
    <cellStyle name="Normal" xfId="0" builtinId="0"/>
    <cellStyle name="Pourcentage" xfId="2" builtinId="5"/>
    <cellStyle name="Satisfaisant" xfId="3" builtinId="26"/>
  </cellStyles>
  <dxfs count="0"/>
  <tableStyles count="0" defaultTableStyle="TableStyleMedium2" defaultPivotStyle="PivotStyleLight16"/>
  <colors>
    <mruColors>
      <color rgb="FFFF0000"/>
      <color rgb="FFF5B8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F2E9-3DA9-47FD-8D8E-942A4E65E127}">
  <dimension ref="A1:Z69"/>
  <sheetViews>
    <sheetView showGridLines="0" tabSelected="1" topLeftCell="J1" zoomScale="90" zoomScaleNormal="90" workbookViewId="0">
      <selection activeCell="L11" sqref="L11"/>
    </sheetView>
  </sheetViews>
  <sheetFormatPr baseColWidth="10" defaultRowHeight="14.4" x14ac:dyDescent="0.3"/>
  <cols>
    <col min="1" max="1" width="11.44140625" hidden="1" customWidth="1"/>
    <col min="2" max="2" width="17.6640625" hidden="1" customWidth="1"/>
    <col min="3" max="4" width="13.88671875" hidden="1" customWidth="1"/>
    <col min="5" max="5" width="19" hidden="1" customWidth="1"/>
    <col min="6" max="7" width="12.88671875" hidden="1" customWidth="1"/>
    <col min="8" max="8" width="11.44140625" hidden="1" customWidth="1"/>
    <col min="9" max="9" width="11.5546875" hidden="1" customWidth="1"/>
    <col min="11" max="11" width="26.109375" customWidth="1"/>
    <col min="12" max="25" width="14" customWidth="1"/>
  </cols>
  <sheetData>
    <row r="1" spans="1:25" ht="37.5" customHeight="1" x14ac:dyDescent="0.3">
      <c r="E1" s="22"/>
      <c r="K1" s="80" t="s">
        <v>60</v>
      </c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5" ht="72" x14ac:dyDescent="0.3">
      <c r="F2" s="82" t="s">
        <v>27</v>
      </c>
      <c r="G2" s="82"/>
      <c r="K2" s="65"/>
      <c r="L2" s="66" t="s">
        <v>45</v>
      </c>
      <c r="M2" s="66" t="s">
        <v>46</v>
      </c>
      <c r="N2" s="66" t="s">
        <v>47</v>
      </c>
      <c r="O2" s="66" t="s">
        <v>48</v>
      </c>
      <c r="P2" s="66" t="s">
        <v>49</v>
      </c>
      <c r="Q2" s="66" t="s">
        <v>50</v>
      </c>
      <c r="R2" s="66" t="s">
        <v>51</v>
      </c>
      <c r="S2" s="66" t="s">
        <v>52</v>
      </c>
      <c r="T2" s="66" t="s">
        <v>53</v>
      </c>
      <c r="U2" s="66" t="s">
        <v>54</v>
      </c>
      <c r="V2" s="66" t="s">
        <v>55</v>
      </c>
      <c r="W2" s="66" t="s">
        <v>56</v>
      </c>
      <c r="X2" s="66" t="s">
        <v>57</v>
      </c>
      <c r="Y2" s="66" t="s">
        <v>58</v>
      </c>
    </row>
    <row r="3" spans="1:25" x14ac:dyDescent="0.3">
      <c r="B3" s="1"/>
      <c r="C3" s="2">
        <v>44377</v>
      </c>
      <c r="D3" s="2">
        <v>44742</v>
      </c>
      <c r="E3" s="22">
        <v>551227</v>
      </c>
      <c r="F3" s="16">
        <v>1.6E-2</v>
      </c>
      <c r="G3" s="11" t="s">
        <v>24</v>
      </c>
      <c r="H3" s="2">
        <v>44834</v>
      </c>
      <c r="J3">
        <v>3.5589</v>
      </c>
      <c r="K3" s="21" t="s">
        <v>28</v>
      </c>
      <c r="L3" s="61">
        <v>3.29</v>
      </c>
      <c r="M3" s="61">
        <v>12.99</v>
      </c>
      <c r="N3" s="61">
        <v>12.99</v>
      </c>
      <c r="O3" s="62">
        <v>5.82</v>
      </c>
      <c r="P3" s="62">
        <v>2.94</v>
      </c>
      <c r="Q3" s="62">
        <v>2.94</v>
      </c>
      <c r="R3" s="62">
        <v>2.94</v>
      </c>
      <c r="S3" s="62">
        <v>2.94</v>
      </c>
      <c r="T3" s="62">
        <v>2.94</v>
      </c>
      <c r="U3" s="62">
        <v>2.94</v>
      </c>
      <c r="V3" s="62">
        <v>2.94</v>
      </c>
      <c r="W3" s="62">
        <v>7.89</v>
      </c>
      <c r="X3" s="62">
        <v>2.95</v>
      </c>
      <c r="Y3" s="62">
        <v>3.68</v>
      </c>
    </row>
    <row r="4" spans="1:25" x14ac:dyDescent="0.3">
      <c r="A4" s="8" t="s">
        <v>0</v>
      </c>
      <c r="B4" s="3" t="s">
        <v>11</v>
      </c>
      <c r="C4" s="4">
        <v>145646</v>
      </c>
      <c r="D4" s="4">
        <v>143764</v>
      </c>
      <c r="E4" s="4"/>
      <c r="F4" s="4"/>
      <c r="G4" s="4"/>
      <c r="H4" s="19"/>
      <c r="K4" s="21" t="s">
        <v>29</v>
      </c>
      <c r="L4" s="63">
        <v>0.02</v>
      </c>
      <c r="M4" s="63">
        <v>0.02</v>
      </c>
      <c r="N4" s="63">
        <v>0.02</v>
      </c>
      <c r="O4" s="64">
        <v>0.02</v>
      </c>
      <c r="P4" s="64">
        <v>0.02</v>
      </c>
      <c r="Q4" s="64">
        <v>0.02</v>
      </c>
      <c r="R4" s="64">
        <v>0.02</v>
      </c>
      <c r="S4" s="64">
        <v>0.02</v>
      </c>
      <c r="T4" s="64">
        <v>0.02</v>
      </c>
      <c r="U4" s="64">
        <v>0.02</v>
      </c>
      <c r="V4" s="64">
        <v>0.02</v>
      </c>
      <c r="W4" s="64">
        <v>0</v>
      </c>
      <c r="X4" s="64">
        <v>0</v>
      </c>
      <c r="Y4" s="64">
        <v>0</v>
      </c>
    </row>
    <row r="5" spans="1:25" x14ac:dyDescent="0.3">
      <c r="A5" s="8" t="s">
        <v>0</v>
      </c>
      <c r="B5" s="3" t="s">
        <v>12</v>
      </c>
      <c r="C5" s="4">
        <v>3631163</v>
      </c>
      <c r="D5" s="4">
        <v>3588717</v>
      </c>
      <c r="E5" s="4"/>
      <c r="F5" s="4"/>
      <c r="G5" s="4"/>
      <c r="H5" s="19"/>
      <c r="J5">
        <v>3.3854099999999998</v>
      </c>
      <c r="K5" s="21" t="s">
        <v>30</v>
      </c>
      <c r="L5" s="26">
        <f>+L3*(1-L4)</f>
        <v>3.2242000000000002</v>
      </c>
      <c r="M5" s="26">
        <f>+M3*(1-M4)</f>
        <v>12.7302</v>
      </c>
      <c r="N5" s="26">
        <f>+N3*(1-N4)</f>
        <v>12.7302</v>
      </c>
      <c r="O5" s="52">
        <f>+O3*(1-O4)</f>
        <v>5.7035999999999998</v>
      </c>
      <c r="P5" s="52">
        <f t="shared" ref="P5:Y5" si="0">+P3*(1-P4)</f>
        <v>2.8811999999999998</v>
      </c>
      <c r="Q5" s="52">
        <f t="shared" si="0"/>
        <v>2.8811999999999998</v>
      </c>
      <c r="R5" s="52">
        <f t="shared" si="0"/>
        <v>2.8811999999999998</v>
      </c>
      <c r="S5" s="52">
        <f t="shared" si="0"/>
        <v>2.8811999999999998</v>
      </c>
      <c r="T5" s="52">
        <f t="shared" si="0"/>
        <v>2.8811999999999998</v>
      </c>
      <c r="U5" s="52">
        <f t="shared" si="0"/>
        <v>2.8811999999999998</v>
      </c>
      <c r="V5" s="52">
        <f t="shared" si="0"/>
        <v>2.8811999999999998</v>
      </c>
      <c r="W5" s="52">
        <f t="shared" si="0"/>
        <v>7.89</v>
      </c>
      <c r="X5" s="52">
        <f t="shared" si="0"/>
        <v>2.95</v>
      </c>
      <c r="Y5" s="52">
        <f t="shared" si="0"/>
        <v>3.68</v>
      </c>
    </row>
    <row r="6" spans="1:25" x14ac:dyDescent="0.3">
      <c r="A6" s="83" t="s">
        <v>13</v>
      </c>
      <c r="B6" s="83"/>
      <c r="C6" s="6">
        <f>+C5+C4</f>
        <v>3776809</v>
      </c>
      <c r="D6" s="6">
        <f>+D5+D4</f>
        <v>3732481</v>
      </c>
      <c r="E6" s="6"/>
      <c r="F6" s="6">
        <f>+D6</f>
        <v>3732481</v>
      </c>
      <c r="G6" s="13">
        <f>+F6-D6</f>
        <v>0</v>
      </c>
      <c r="H6" s="6">
        <v>859673</v>
      </c>
      <c r="L6" s="70">
        <v>3.3809999999999998</v>
      </c>
      <c r="M6" s="24"/>
      <c r="N6" s="24"/>
    </row>
    <row r="7" spans="1:25" ht="15.6" x14ac:dyDescent="0.3">
      <c r="A7" s="8" t="s">
        <v>0</v>
      </c>
      <c r="B7" s="3" t="s">
        <v>14</v>
      </c>
      <c r="C7" s="5">
        <v>87968</v>
      </c>
      <c r="D7" s="5">
        <v>84905</v>
      </c>
      <c r="E7" s="5"/>
      <c r="F7" s="12">
        <f t="shared" ref="F7" si="1">+D7*(1+$F$3)</f>
        <v>86263.48</v>
      </c>
      <c r="G7" s="12"/>
      <c r="H7" s="18"/>
      <c r="K7" s="57" t="s">
        <v>31</v>
      </c>
      <c r="L7" s="58">
        <v>1.75</v>
      </c>
      <c r="M7" s="58">
        <v>6</v>
      </c>
      <c r="N7" s="58">
        <v>6.56</v>
      </c>
      <c r="O7" s="57">
        <v>1.69</v>
      </c>
      <c r="P7" s="57">
        <v>1.1299999999999999</v>
      </c>
      <c r="Q7" s="57">
        <v>1.1499999999999999</v>
      </c>
      <c r="R7" s="57">
        <v>1.21</v>
      </c>
      <c r="S7" s="57">
        <v>1.1599999999999999</v>
      </c>
      <c r="T7" s="57">
        <v>1.17</v>
      </c>
      <c r="U7" s="57">
        <v>1.1399999999999999</v>
      </c>
      <c r="V7" s="57">
        <v>1.21</v>
      </c>
      <c r="W7" s="57">
        <f>1.07*4</f>
        <v>4.28</v>
      </c>
      <c r="X7" s="57">
        <v>1.35</v>
      </c>
      <c r="Y7" s="57">
        <v>1.68</v>
      </c>
    </row>
    <row r="8" spans="1:25" ht="15.6" x14ac:dyDescent="0.3">
      <c r="A8" s="8" t="s">
        <v>0</v>
      </c>
      <c r="B8" s="3" t="s">
        <v>15</v>
      </c>
      <c r="C8" s="5">
        <v>1667173</v>
      </c>
      <c r="D8" s="5">
        <v>1552532</v>
      </c>
      <c r="E8" s="5"/>
      <c r="F8" s="12">
        <f>+D8*(1+$F$3)</f>
        <v>1577372.5120000001</v>
      </c>
      <c r="G8" s="12"/>
      <c r="H8" s="18"/>
      <c r="K8" s="57" t="s">
        <v>42</v>
      </c>
      <c r="L8" s="58">
        <v>0.11</v>
      </c>
      <c r="M8" s="58">
        <v>0.27</v>
      </c>
      <c r="N8" s="58">
        <v>0.35</v>
      </c>
      <c r="O8" s="57">
        <v>0.24</v>
      </c>
      <c r="P8" s="57">
        <v>0.08</v>
      </c>
      <c r="Q8" s="57">
        <v>0.08</v>
      </c>
      <c r="R8" s="57">
        <v>0.08</v>
      </c>
      <c r="S8" s="57">
        <v>0.08</v>
      </c>
      <c r="T8" s="57">
        <v>0.08</v>
      </c>
      <c r="U8" s="57">
        <v>0.08</v>
      </c>
      <c r="V8" s="57">
        <v>0.08</v>
      </c>
      <c r="W8" s="57">
        <v>0.23</v>
      </c>
      <c r="X8" s="57">
        <v>0.13</v>
      </c>
      <c r="Y8" s="57">
        <v>0.13</v>
      </c>
    </row>
    <row r="9" spans="1:25" x14ac:dyDescent="0.3">
      <c r="A9" s="8" t="s">
        <v>0</v>
      </c>
      <c r="B9" s="3" t="s">
        <v>1</v>
      </c>
      <c r="C9" s="5">
        <f>100923+4420</f>
        <v>105343</v>
      </c>
      <c r="D9" s="5">
        <f>-87614-5060</f>
        <v>-92674</v>
      </c>
      <c r="E9" s="5"/>
      <c r="F9" s="12">
        <f>+D9*(1+$F$3)</f>
        <v>-94156.784</v>
      </c>
      <c r="G9" s="12"/>
      <c r="H9" s="18"/>
      <c r="L9" s="24"/>
      <c r="M9" s="24"/>
      <c r="N9" s="24"/>
    </row>
    <row r="10" spans="1:25" ht="15.6" x14ac:dyDescent="0.3">
      <c r="A10" s="59" t="s">
        <v>16</v>
      </c>
      <c r="B10" s="59"/>
      <c r="C10" s="7">
        <f>+SUM(C7:C9)</f>
        <v>1860484</v>
      </c>
      <c r="D10" s="7">
        <f>+SUM(D7:D9)</f>
        <v>1544763</v>
      </c>
      <c r="E10" s="7"/>
      <c r="F10" s="7">
        <f>+D10*(1+$F$3)</f>
        <v>1569479.2080000001</v>
      </c>
      <c r="G10" s="13">
        <f>+F10-D10</f>
        <v>24716.208000000101</v>
      </c>
      <c r="H10" s="7">
        <v>387618</v>
      </c>
      <c r="K10" s="21" t="s">
        <v>23</v>
      </c>
      <c r="L10" s="54">
        <f>+L5-L7-L8</f>
        <v>1.3642000000000001</v>
      </c>
      <c r="M10" s="54">
        <f t="shared" ref="M10:Y10" si="2">+M5-M7-M8</f>
        <v>6.4602000000000004</v>
      </c>
      <c r="N10" s="54">
        <f t="shared" si="2"/>
        <v>5.8202000000000007</v>
      </c>
      <c r="O10" s="54">
        <f t="shared" si="2"/>
        <v>3.7736000000000001</v>
      </c>
      <c r="P10" s="54">
        <f t="shared" si="2"/>
        <v>1.6711999999999998</v>
      </c>
      <c r="Q10" s="54">
        <f t="shared" si="2"/>
        <v>1.6511999999999998</v>
      </c>
      <c r="R10" s="54">
        <f t="shared" si="2"/>
        <v>1.5911999999999997</v>
      </c>
      <c r="S10" s="54">
        <f t="shared" si="2"/>
        <v>1.6411999999999998</v>
      </c>
      <c r="T10" s="54">
        <f t="shared" si="2"/>
        <v>1.6311999999999998</v>
      </c>
      <c r="U10" s="54">
        <f t="shared" si="2"/>
        <v>1.6611999999999998</v>
      </c>
      <c r="V10" s="54">
        <f t="shared" si="2"/>
        <v>1.5911999999999997</v>
      </c>
      <c r="W10" s="54">
        <f t="shared" si="2"/>
        <v>3.3799999999999994</v>
      </c>
      <c r="X10" s="54">
        <f t="shared" si="2"/>
        <v>1.4700000000000002</v>
      </c>
      <c r="Y10" s="54">
        <f t="shared" si="2"/>
        <v>1.87</v>
      </c>
    </row>
    <row r="11" spans="1:25" ht="23.25" customHeight="1" x14ac:dyDescent="0.3">
      <c r="A11" s="8" t="s">
        <v>17</v>
      </c>
      <c r="B11" s="3" t="s">
        <v>8</v>
      </c>
      <c r="C11" s="5">
        <v>71117</v>
      </c>
      <c r="D11" s="5">
        <v>61603</v>
      </c>
      <c r="E11" s="32">
        <f>+D11/$E$3</f>
        <v>0.1117561367639829</v>
      </c>
      <c r="F11" s="12">
        <f t="shared" ref="F11:F23" si="3">+D11*(1+$F$3)</f>
        <v>62588.648000000001</v>
      </c>
      <c r="G11" s="12">
        <f>+F11-D11</f>
        <v>985.64800000000105</v>
      </c>
      <c r="H11" s="5">
        <v>7522.99</v>
      </c>
      <c r="J11" s="60" t="s">
        <v>44</v>
      </c>
    </row>
    <row r="12" spans="1:25" x14ac:dyDescent="0.3">
      <c r="A12" s="8" t="s">
        <v>17</v>
      </c>
      <c r="B12" s="3" t="s">
        <v>18</v>
      </c>
      <c r="C12" s="5">
        <v>8396</v>
      </c>
      <c r="D12" s="5">
        <v>7559</v>
      </c>
      <c r="E12" s="32">
        <f t="shared" ref="E12:E24" si="4">+D12/$E$3</f>
        <v>1.3713043809537631E-2</v>
      </c>
      <c r="F12" s="12">
        <f t="shared" si="3"/>
        <v>7679.9440000000004</v>
      </c>
      <c r="G12" s="12">
        <f t="shared" ref="G12:G16" si="5">+F12-D12</f>
        <v>120.94400000000041</v>
      </c>
      <c r="H12" s="5">
        <v>1897</v>
      </c>
      <c r="I12" s="17"/>
      <c r="J12" s="10">
        <v>1.6199999999999999E-2</v>
      </c>
      <c r="K12" s="10" t="str">
        <f t="shared" ref="K12:K17" si="6">+B11</f>
        <v>EDF</v>
      </c>
      <c r="L12" s="23">
        <f>+J12*$L$5</f>
        <v>5.223204E-2</v>
      </c>
      <c r="M12" s="35">
        <f t="shared" ref="M12:M17" si="7">+J12*$M$5</f>
        <v>0.20622923999999998</v>
      </c>
      <c r="N12" s="35">
        <f>+J12*$N$5</f>
        <v>0.20622923999999998</v>
      </c>
      <c r="O12" s="51">
        <f>+J12*$O$5</f>
        <v>9.2398319999999992E-2</v>
      </c>
      <c r="P12" s="51">
        <f>+$P$5*J12</f>
        <v>4.6675439999999992E-2</v>
      </c>
      <c r="Q12" s="51">
        <f>+J12*$Q$5</f>
        <v>4.6675439999999992E-2</v>
      </c>
      <c r="R12" s="51">
        <f>+J12*$R$5</f>
        <v>4.6675439999999992E-2</v>
      </c>
      <c r="S12" s="51">
        <f>+J12*$S$5</f>
        <v>4.6675439999999992E-2</v>
      </c>
      <c r="T12" s="51">
        <f>+J12*$T$5</f>
        <v>4.6675439999999992E-2</v>
      </c>
      <c r="U12" s="51">
        <f>+J12*$U$5</f>
        <v>4.6675439999999992E-2</v>
      </c>
      <c r="V12" s="51">
        <f>+J12*$V$5</f>
        <v>4.6675439999999992E-2</v>
      </c>
      <c r="W12" s="51">
        <f>+J12*$W$5</f>
        <v>0.12781799999999999</v>
      </c>
      <c r="X12" s="51">
        <f>+J12*$X$5</f>
        <v>4.7789999999999999E-2</v>
      </c>
      <c r="Y12" s="51">
        <f>+J12*$Y$5</f>
        <v>5.9616000000000002E-2</v>
      </c>
    </row>
    <row r="13" spans="1:25" x14ac:dyDescent="0.3">
      <c r="A13" s="8" t="s">
        <v>17</v>
      </c>
      <c r="B13" s="3" t="s">
        <v>9</v>
      </c>
      <c r="C13" s="5">
        <v>34609</v>
      </c>
      <c r="D13" s="5">
        <v>35985</v>
      </c>
      <c r="E13" s="32">
        <f t="shared" si="4"/>
        <v>6.528163533353773E-2</v>
      </c>
      <c r="F13" s="12">
        <f t="shared" si="3"/>
        <v>36560.76</v>
      </c>
      <c r="G13" s="12">
        <f t="shared" si="5"/>
        <v>575.76000000000204</v>
      </c>
      <c r="H13" s="5">
        <v>6240</v>
      </c>
      <c r="J13" s="10">
        <v>2E-3</v>
      </c>
      <c r="K13" s="10" t="str">
        <f t="shared" si="6"/>
        <v>EAU</v>
      </c>
      <c r="L13" s="23">
        <f t="shared" ref="L13:L17" si="8">+J13*$L$5</f>
        <v>6.4484000000000008E-3</v>
      </c>
      <c r="M13" s="35">
        <f t="shared" si="7"/>
        <v>2.5460400000000001E-2</v>
      </c>
      <c r="N13" s="35">
        <f t="shared" ref="N13:N17" si="9">+J13*$N$5</f>
        <v>2.5460400000000001E-2</v>
      </c>
      <c r="O13" s="51">
        <f t="shared" ref="O13:O17" si="10">+J13*$O$5</f>
        <v>1.1407199999999999E-2</v>
      </c>
      <c r="P13" s="51">
        <f t="shared" ref="P13:P24" si="11">+$P$5*J13</f>
        <v>5.7624E-3</v>
      </c>
      <c r="Q13" s="51">
        <f t="shared" ref="Q13:Q17" si="12">+J13*$Q$5</f>
        <v>5.7624E-3</v>
      </c>
      <c r="R13" s="51">
        <f t="shared" ref="R13:R17" si="13">+J13*$R$5</f>
        <v>5.7624E-3</v>
      </c>
      <c r="S13" s="51">
        <f t="shared" ref="S13:S17" si="14">+J13*$S$5</f>
        <v>5.7624E-3</v>
      </c>
      <c r="T13" s="51">
        <f t="shared" ref="T13:T17" si="15">+J13*$T$5</f>
        <v>5.7624E-3</v>
      </c>
      <c r="U13" s="51">
        <f t="shared" ref="U13:U17" si="16">+J13*$U$5</f>
        <v>5.7624E-3</v>
      </c>
      <c r="V13" s="51">
        <f t="shared" ref="V13:V17" si="17">+J13*$V$5</f>
        <v>5.7624E-3</v>
      </c>
      <c r="W13" s="51">
        <f t="shared" ref="W13:W17" si="18">+J13*$W$5</f>
        <v>1.5779999999999999E-2</v>
      </c>
      <c r="X13" s="51">
        <f t="shared" ref="X13:X17" si="19">+J13*$X$5</f>
        <v>5.9000000000000007E-3</v>
      </c>
      <c r="Y13" s="51">
        <f t="shared" ref="Y13:Y17" si="20">+J13*$Y$5</f>
        <v>7.3600000000000002E-3</v>
      </c>
    </row>
    <row r="14" spans="1:25" x14ac:dyDescent="0.3">
      <c r="A14" s="8" t="s">
        <v>17</v>
      </c>
      <c r="B14" s="3" t="s">
        <v>2</v>
      </c>
      <c r="C14" s="5">
        <v>6259</v>
      </c>
      <c r="D14" s="5">
        <v>21368</v>
      </c>
      <c r="E14" s="32">
        <f t="shared" si="4"/>
        <v>3.8764429173462116E-2</v>
      </c>
      <c r="F14" s="12">
        <f t="shared" si="3"/>
        <v>21709.887999999999</v>
      </c>
      <c r="G14" s="12">
        <f t="shared" si="5"/>
        <v>341.88799999999901</v>
      </c>
      <c r="H14" s="5">
        <v>0</v>
      </c>
      <c r="J14" s="10">
        <v>9.4999999999999998E-3</v>
      </c>
      <c r="K14" s="10" t="str">
        <f t="shared" si="6"/>
        <v>GAZ</v>
      </c>
      <c r="L14" s="23">
        <f t="shared" si="8"/>
        <v>3.0629900000000002E-2</v>
      </c>
      <c r="M14" s="35">
        <f t="shared" si="7"/>
        <v>0.1209369</v>
      </c>
      <c r="N14" s="35">
        <f t="shared" si="9"/>
        <v>0.1209369</v>
      </c>
      <c r="O14" s="51">
        <f t="shared" si="10"/>
        <v>5.4184199999999995E-2</v>
      </c>
      <c r="P14" s="51">
        <f t="shared" si="11"/>
        <v>2.7371399999999997E-2</v>
      </c>
      <c r="Q14" s="51">
        <f t="shared" si="12"/>
        <v>2.7371399999999997E-2</v>
      </c>
      <c r="R14" s="51">
        <f t="shared" si="13"/>
        <v>2.7371399999999997E-2</v>
      </c>
      <c r="S14" s="51">
        <f t="shared" si="14"/>
        <v>2.7371399999999997E-2</v>
      </c>
      <c r="T14" s="51">
        <f t="shared" si="15"/>
        <v>2.7371399999999997E-2</v>
      </c>
      <c r="U14" s="51">
        <f t="shared" si="16"/>
        <v>2.7371399999999997E-2</v>
      </c>
      <c r="V14" s="51">
        <f t="shared" si="17"/>
        <v>2.7371399999999997E-2</v>
      </c>
      <c r="W14" s="51">
        <f t="shared" si="18"/>
        <v>7.4954999999999994E-2</v>
      </c>
      <c r="X14" s="51">
        <f t="shared" si="19"/>
        <v>2.8025000000000001E-2</v>
      </c>
      <c r="Y14" s="51">
        <f t="shared" si="20"/>
        <v>3.4959999999999998E-2</v>
      </c>
    </row>
    <row r="15" spans="1:25" x14ac:dyDescent="0.3">
      <c r="A15" s="8" t="s">
        <v>17</v>
      </c>
      <c r="B15" s="3" t="s">
        <v>4</v>
      </c>
      <c r="C15" s="5">
        <v>31713</v>
      </c>
      <c r="D15" s="5">
        <v>33911</v>
      </c>
      <c r="E15" s="32">
        <f t="shared" si="4"/>
        <v>6.1519120072129993E-2</v>
      </c>
      <c r="F15" s="12">
        <f t="shared" si="3"/>
        <v>34453.576000000001</v>
      </c>
      <c r="G15" s="12">
        <f t="shared" si="5"/>
        <v>542.57600000000093</v>
      </c>
      <c r="H15" s="5">
        <v>5661</v>
      </c>
      <c r="J15" s="28">
        <v>0</v>
      </c>
      <c r="K15" s="10" t="str">
        <f t="shared" si="6"/>
        <v>INTERIM</v>
      </c>
      <c r="L15" s="23">
        <f t="shared" si="8"/>
        <v>0</v>
      </c>
      <c r="M15" s="35">
        <f t="shared" si="7"/>
        <v>0</v>
      </c>
      <c r="N15" s="35">
        <f t="shared" si="9"/>
        <v>0</v>
      </c>
      <c r="O15" s="51">
        <f t="shared" si="10"/>
        <v>0</v>
      </c>
      <c r="P15" s="51">
        <f t="shared" si="11"/>
        <v>0</v>
      </c>
      <c r="Q15" s="4">
        <f t="shared" si="12"/>
        <v>0</v>
      </c>
      <c r="R15" s="4">
        <f t="shared" si="13"/>
        <v>0</v>
      </c>
      <c r="S15" s="4">
        <f t="shared" si="14"/>
        <v>0</v>
      </c>
      <c r="T15" s="4">
        <f t="shared" si="15"/>
        <v>0</v>
      </c>
      <c r="U15" s="4">
        <f t="shared" si="16"/>
        <v>0</v>
      </c>
      <c r="V15" s="4">
        <f t="shared" si="17"/>
        <v>0</v>
      </c>
      <c r="W15" s="4">
        <f t="shared" si="18"/>
        <v>0</v>
      </c>
      <c r="X15" s="4">
        <f t="shared" si="19"/>
        <v>0</v>
      </c>
      <c r="Y15" s="4">
        <f t="shared" si="20"/>
        <v>0</v>
      </c>
    </row>
    <row r="16" spans="1:25" x14ac:dyDescent="0.3">
      <c r="A16" s="8" t="s">
        <v>17</v>
      </c>
      <c r="B16" s="3" t="s">
        <v>3</v>
      </c>
      <c r="C16" s="5">
        <v>155752</v>
      </c>
      <c r="D16" s="5">
        <v>155016</v>
      </c>
      <c r="E16" s="32">
        <f t="shared" si="4"/>
        <v>0.2812198967031731</v>
      </c>
      <c r="F16" s="12">
        <f t="shared" si="3"/>
        <v>157496.25599999999</v>
      </c>
      <c r="G16" s="12">
        <f t="shared" si="5"/>
        <v>2480.2559999999939</v>
      </c>
      <c r="H16" s="5">
        <v>37386</v>
      </c>
      <c r="J16" s="28">
        <v>8.3000000000000001E-3</v>
      </c>
      <c r="K16" s="10" t="str">
        <f t="shared" si="6"/>
        <v>COMMISSION</v>
      </c>
      <c r="L16" s="23">
        <f t="shared" si="8"/>
        <v>2.6760860000000001E-2</v>
      </c>
      <c r="M16" s="35">
        <f t="shared" si="7"/>
        <v>0.10566066</v>
      </c>
      <c r="N16" s="35">
        <f t="shared" si="9"/>
        <v>0.10566066</v>
      </c>
      <c r="O16" s="51">
        <f t="shared" si="10"/>
        <v>4.7339880000000001E-2</v>
      </c>
      <c r="P16" s="51">
        <f t="shared" si="11"/>
        <v>2.3913959999999998E-2</v>
      </c>
      <c r="Q16" s="51">
        <f t="shared" si="12"/>
        <v>2.3913959999999998E-2</v>
      </c>
      <c r="R16" s="51">
        <f t="shared" si="13"/>
        <v>2.3913959999999998E-2</v>
      </c>
      <c r="S16" s="51">
        <f t="shared" si="14"/>
        <v>2.3913959999999998E-2</v>
      </c>
      <c r="T16" s="51">
        <f t="shared" si="15"/>
        <v>2.3913959999999998E-2</v>
      </c>
      <c r="U16" s="51">
        <f t="shared" si="16"/>
        <v>2.3913959999999998E-2</v>
      </c>
      <c r="V16" s="51">
        <f t="shared" si="17"/>
        <v>2.3913959999999998E-2</v>
      </c>
      <c r="W16" s="51">
        <f t="shared" si="18"/>
        <v>6.5487000000000004E-2</v>
      </c>
      <c r="X16" s="51">
        <f t="shared" si="19"/>
        <v>2.4485000000000003E-2</v>
      </c>
      <c r="Y16" s="51">
        <f t="shared" si="20"/>
        <v>3.0544000000000002E-2</v>
      </c>
    </row>
    <row r="17" spans="1:26" x14ac:dyDescent="0.3">
      <c r="A17" s="59" t="s">
        <v>19</v>
      </c>
      <c r="B17" s="59"/>
      <c r="C17" s="7">
        <f>+SUM(C11:C16)</f>
        <v>307846</v>
      </c>
      <c r="D17" s="7">
        <f>+SUM(D11:D16)</f>
        <v>315442</v>
      </c>
      <c r="E17" s="33">
        <f t="shared" si="4"/>
        <v>0.57225426185582351</v>
      </c>
      <c r="F17" s="7">
        <f>+D17*(1+$F$3)</f>
        <v>320489.07199999999</v>
      </c>
      <c r="G17" s="13">
        <f>+F17-D17</f>
        <v>5047.0719999999856</v>
      </c>
      <c r="H17" s="7">
        <f>+SUM(H11:H16)</f>
        <v>58706.99</v>
      </c>
      <c r="J17" s="28">
        <v>4.07E-2</v>
      </c>
      <c r="K17" s="10" t="str">
        <f t="shared" si="6"/>
        <v>TRANSPORT</v>
      </c>
      <c r="L17" s="23">
        <f t="shared" si="8"/>
        <v>0.13122494000000001</v>
      </c>
      <c r="M17" s="35">
        <f t="shared" si="7"/>
        <v>0.51811914000000003</v>
      </c>
      <c r="N17" s="35">
        <f t="shared" si="9"/>
        <v>0.51811914000000003</v>
      </c>
      <c r="O17" s="51">
        <f t="shared" si="10"/>
        <v>0.23213651999999999</v>
      </c>
      <c r="P17" s="51">
        <f t="shared" si="11"/>
        <v>0.11726484</v>
      </c>
      <c r="Q17" s="51">
        <f t="shared" si="12"/>
        <v>0.11726484</v>
      </c>
      <c r="R17" s="51">
        <f t="shared" si="13"/>
        <v>0.11726484</v>
      </c>
      <c r="S17" s="51">
        <f t="shared" si="14"/>
        <v>0.11726484</v>
      </c>
      <c r="T17" s="51">
        <f t="shared" si="15"/>
        <v>0.11726484</v>
      </c>
      <c r="U17" s="51">
        <f t="shared" si="16"/>
        <v>0.11726484</v>
      </c>
      <c r="V17" s="51">
        <f t="shared" si="17"/>
        <v>0.11726484</v>
      </c>
      <c r="W17" s="51">
        <f t="shared" si="18"/>
        <v>0.32112299999999999</v>
      </c>
      <c r="X17" s="51">
        <f t="shared" si="19"/>
        <v>0.12006500000000001</v>
      </c>
      <c r="Y17" s="51">
        <f t="shared" si="20"/>
        <v>0.14977600000000002</v>
      </c>
    </row>
    <row r="18" spans="1:26" x14ac:dyDescent="0.3">
      <c r="A18" s="8" t="s">
        <v>17</v>
      </c>
      <c r="B18" s="3" t="s">
        <v>5</v>
      </c>
      <c r="C18" s="5">
        <v>754068</v>
      </c>
      <c r="D18" s="5">
        <v>838436</v>
      </c>
      <c r="E18" s="32">
        <f t="shared" si="4"/>
        <v>1.5210357983190228</v>
      </c>
      <c r="F18" s="12">
        <f t="shared" si="3"/>
        <v>851850.97600000002</v>
      </c>
      <c r="G18" s="12">
        <f>+F18-D18</f>
        <v>13414.976000000024</v>
      </c>
      <c r="H18" s="5">
        <v>205388</v>
      </c>
      <c r="J18" s="73" t="str">
        <f>+A17</f>
        <v>TOTAL CHG EXT</v>
      </c>
      <c r="K18" s="73"/>
      <c r="L18" s="31">
        <f>+SUM(L12:L17)</f>
        <v>0.24729614</v>
      </c>
      <c r="M18" s="31">
        <f>+SUM(M12:M17)</f>
        <v>0.97640634000000004</v>
      </c>
      <c r="N18" s="31">
        <f>+SUM(N12:N17)</f>
        <v>0.97640634000000004</v>
      </c>
      <c r="O18" s="53">
        <f>+SUM(O12:O17)</f>
        <v>0.43746611999999996</v>
      </c>
      <c r="P18" s="53">
        <f t="shared" ref="P18:Y18" si="21">+SUM(P12:P17)</f>
        <v>0.22098804</v>
      </c>
      <c r="Q18" s="53">
        <f t="shared" si="21"/>
        <v>0.22098804</v>
      </c>
      <c r="R18" s="53">
        <f t="shared" si="21"/>
        <v>0.22098804</v>
      </c>
      <c r="S18" s="53">
        <f t="shared" si="21"/>
        <v>0.22098804</v>
      </c>
      <c r="T18" s="53">
        <f t="shared" si="21"/>
        <v>0.22098804</v>
      </c>
      <c r="U18" s="53">
        <f t="shared" si="21"/>
        <v>0.22098804</v>
      </c>
      <c r="V18" s="53">
        <f t="shared" si="21"/>
        <v>0.22098804</v>
      </c>
      <c r="W18" s="53">
        <f t="shared" si="21"/>
        <v>0.6051629999999999</v>
      </c>
      <c r="X18" s="53">
        <f t="shared" si="21"/>
        <v>0.22626500000000002</v>
      </c>
      <c r="Y18" s="53">
        <f t="shared" si="21"/>
        <v>0.28225600000000001</v>
      </c>
    </row>
    <row r="19" spans="1:26" x14ac:dyDescent="0.3">
      <c r="A19" s="8" t="s">
        <v>17</v>
      </c>
      <c r="B19" s="3" t="s">
        <v>6</v>
      </c>
      <c r="C19" s="5">
        <v>233204</v>
      </c>
      <c r="D19" s="5">
        <v>277802</v>
      </c>
      <c r="E19" s="32">
        <f t="shared" si="4"/>
        <v>0.5039702336786841</v>
      </c>
      <c r="F19" s="12">
        <f t="shared" si="3"/>
        <v>282246.83199999999</v>
      </c>
      <c r="G19" s="12">
        <f t="shared" ref="G19:G24" si="22">+F19-D19</f>
        <v>4444.8319999999949</v>
      </c>
      <c r="H19" s="5">
        <v>60814</v>
      </c>
      <c r="J19" s="28">
        <v>0.22030000000000002</v>
      </c>
      <c r="K19" s="10" t="str">
        <f>+B18</f>
        <v>MASSE SALARIALE</v>
      </c>
      <c r="L19" s="23">
        <f>+J19*$L$5</f>
        <v>0.71029126000000009</v>
      </c>
      <c r="M19" s="35">
        <f>+J19*$M$5</f>
        <v>2.8044630600000002</v>
      </c>
      <c r="N19" s="35">
        <f>+J19*$N$5</f>
        <v>2.8044630600000002</v>
      </c>
      <c r="O19" s="51">
        <f>+J19*$O$5</f>
        <v>1.2565030800000001</v>
      </c>
      <c r="P19" s="51">
        <f t="shared" si="11"/>
        <v>0.63472835999999999</v>
      </c>
      <c r="Q19" s="51">
        <f t="shared" ref="Q19:Q21" si="23">+J19*$Q$5</f>
        <v>0.63472835999999999</v>
      </c>
      <c r="R19" s="51">
        <f t="shared" ref="R19:R21" si="24">+J19*$R$5</f>
        <v>0.63472835999999999</v>
      </c>
      <c r="S19" s="51">
        <f>+J19*$S$5</f>
        <v>0.63472835999999999</v>
      </c>
      <c r="T19" s="51">
        <f>+J19*$T$5</f>
        <v>0.63472835999999999</v>
      </c>
      <c r="U19" s="51">
        <f>+J19*$U$5</f>
        <v>0.63472835999999999</v>
      </c>
      <c r="V19" s="51">
        <f t="shared" ref="V19:V21" si="25">+J19*$V$5</f>
        <v>0.63472835999999999</v>
      </c>
      <c r="W19" s="51">
        <f t="shared" ref="W19:W21" si="26">+J19*$W$5</f>
        <v>1.738167</v>
      </c>
      <c r="X19" s="51">
        <f t="shared" ref="X19:X21" si="27">+J19*$X$5</f>
        <v>0.64988500000000016</v>
      </c>
      <c r="Y19" s="51">
        <f t="shared" ref="Y19:Y21" si="28">+J19*$Y$5</f>
        <v>0.81070400000000009</v>
      </c>
    </row>
    <row r="20" spans="1:26" x14ac:dyDescent="0.3">
      <c r="A20" s="8" t="s">
        <v>17</v>
      </c>
      <c r="B20" s="3" t="s">
        <v>7</v>
      </c>
      <c r="C20" s="5">
        <f>7368+5010-5100+1422</f>
        <v>8700</v>
      </c>
      <c r="D20" s="5">
        <f>10581+4242+1330</f>
        <v>16153</v>
      </c>
      <c r="E20" s="32">
        <f t="shared" si="4"/>
        <v>2.9303716980481724E-2</v>
      </c>
      <c r="F20" s="12">
        <f t="shared" si="3"/>
        <v>16411.448</v>
      </c>
      <c r="G20" s="12">
        <f t="shared" si="22"/>
        <v>258.44800000000032</v>
      </c>
      <c r="H20" s="5">
        <f>1745+1187+1015+378</f>
        <v>4325</v>
      </c>
      <c r="J20" s="28">
        <v>7.2999999999999995E-2</v>
      </c>
      <c r="K20" s="10" t="str">
        <f>+B19</f>
        <v>CHG SOC</v>
      </c>
      <c r="L20" s="23">
        <f>+J20*$L$5</f>
        <v>0.23536660000000001</v>
      </c>
      <c r="M20" s="35">
        <f>+J20*$M$5</f>
        <v>0.92930459999999993</v>
      </c>
      <c r="N20" s="35">
        <f>+J20*$N$5</f>
        <v>0.92930459999999993</v>
      </c>
      <c r="O20" s="51">
        <f>+J20*$O$5</f>
        <v>0.41636279999999998</v>
      </c>
      <c r="P20" s="51">
        <f t="shared" si="11"/>
        <v>0.21032759999999998</v>
      </c>
      <c r="Q20" s="51">
        <f t="shared" si="23"/>
        <v>0.21032759999999998</v>
      </c>
      <c r="R20" s="51">
        <f t="shared" si="24"/>
        <v>0.21032759999999998</v>
      </c>
      <c r="S20" s="51">
        <f>+J20*$S$5</f>
        <v>0.21032759999999998</v>
      </c>
      <c r="T20" s="51">
        <f>+J20*$T$5</f>
        <v>0.21032759999999998</v>
      </c>
      <c r="U20" s="51">
        <f>+J20*$U$5</f>
        <v>0.21032759999999998</v>
      </c>
      <c r="V20" s="51">
        <f t="shared" si="25"/>
        <v>0.21032759999999998</v>
      </c>
      <c r="W20" s="51">
        <f t="shared" si="26"/>
        <v>0.57596999999999998</v>
      </c>
      <c r="X20" s="51">
        <f t="shared" si="27"/>
        <v>0.21534999999999999</v>
      </c>
      <c r="Y20" s="51">
        <f t="shared" si="28"/>
        <v>0.26863999999999999</v>
      </c>
    </row>
    <row r="21" spans="1:26" x14ac:dyDescent="0.3">
      <c r="A21" s="59" t="s">
        <v>20</v>
      </c>
      <c r="B21" s="59"/>
      <c r="C21" s="7">
        <f>+SUM(C15:C20)</f>
        <v>1491283</v>
      </c>
      <c r="D21" s="7">
        <f>+SUM(D15:D20)</f>
        <v>1636760</v>
      </c>
      <c r="E21" s="33">
        <f t="shared" si="4"/>
        <v>2.9693030276093153</v>
      </c>
      <c r="F21" s="7">
        <f>+D21*(1+$F$3)</f>
        <v>1662948.16</v>
      </c>
      <c r="G21" s="13">
        <f t="shared" si="22"/>
        <v>26188.159999999916</v>
      </c>
      <c r="H21" s="7">
        <f>+SUM(H18:H20)</f>
        <v>270527</v>
      </c>
      <c r="J21" s="10">
        <v>4.1999999999999997E-3</v>
      </c>
      <c r="K21" s="10" t="str">
        <f>+B20</f>
        <v>CHG FISC</v>
      </c>
      <c r="L21" s="23">
        <f>+J21*$L$5</f>
        <v>1.3541640000000001E-2</v>
      </c>
      <c r="M21" s="35">
        <f>+J21*$M$5</f>
        <v>5.3466839999999995E-2</v>
      </c>
      <c r="N21" s="35">
        <f>+J21*$N$5</f>
        <v>5.3466839999999995E-2</v>
      </c>
      <c r="O21" s="51">
        <f>+J21*$O$5</f>
        <v>2.3955119999999996E-2</v>
      </c>
      <c r="P21" s="51">
        <f t="shared" si="11"/>
        <v>1.2101039999999999E-2</v>
      </c>
      <c r="Q21" s="51">
        <f t="shared" si="23"/>
        <v>1.2101039999999999E-2</v>
      </c>
      <c r="R21" s="51">
        <f t="shared" si="24"/>
        <v>1.2101039999999999E-2</v>
      </c>
      <c r="S21" s="51">
        <f>+J21*$S$5</f>
        <v>1.2101039999999999E-2</v>
      </c>
      <c r="T21" s="51">
        <f>+J21*$T$5</f>
        <v>1.2101039999999999E-2</v>
      </c>
      <c r="U21" s="51">
        <f>+J21*$U$5</f>
        <v>1.2101039999999999E-2</v>
      </c>
      <c r="V21" s="51">
        <f t="shared" si="25"/>
        <v>1.2101039999999999E-2</v>
      </c>
      <c r="W21" s="51">
        <f t="shared" si="26"/>
        <v>3.3137999999999994E-2</v>
      </c>
      <c r="X21" s="51">
        <f t="shared" si="27"/>
        <v>1.239E-2</v>
      </c>
      <c r="Y21" s="51">
        <f t="shared" si="28"/>
        <v>1.5455999999999999E-2</v>
      </c>
    </row>
    <row r="22" spans="1:26" x14ac:dyDescent="0.3">
      <c r="A22" s="8" t="s">
        <v>17</v>
      </c>
      <c r="B22" s="3" t="s">
        <v>10</v>
      </c>
      <c r="C22" s="5">
        <v>62733</v>
      </c>
      <c r="D22" s="5">
        <v>33979</v>
      </c>
      <c r="E22" s="32">
        <f t="shared" si="4"/>
        <v>6.1642481228241723E-2</v>
      </c>
      <c r="F22" s="12">
        <f t="shared" si="3"/>
        <v>34522.663999999997</v>
      </c>
      <c r="G22" s="12">
        <f t="shared" si="22"/>
        <v>543.66399999999703</v>
      </c>
      <c r="H22" s="5">
        <v>8208</v>
      </c>
      <c r="J22" s="73" t="str">
        <f>+A21</f>
        <v>TOTAL CHG PERS</v>
      </c>
      <c r="K22" s="73"/>
      <c r="L22" s="31">
        <f>+SUM(L19:L21)</f>
        <v>0.95919950000000009</v>
      </c>
      <c r="M22" s="31">
        <f>+SUM(M19:M21)</f>
        <v>3.7872345000000003</v>
      </c>
      <c r="N22" s="31">
        <f>+SUM(N19:N21)</f>
        <v>3.7872345000000003</v>
      </c>
      <c r="O22" s="46">
        <f>+SUM(O19:O21)</f>
        <v>1.6968209999999999</v>
      </c>
      <c r="P22" s="46">
        <f t="shared" ref="P22:Y22" si="29">+SUM(P19:P21)</f>
        <v>0.85715699999999995</v>
      </c>
      <c r="Q22" s="46">
        <f t="shared" si="29"/>
        <v>0.85715699999999995</v>
      </c>
      <c r="R22" s="46">
        <f t="shared" si="29"/>
        <v>0.85715699999999995</v>
      </c>
      <c r="S22" s="46">
        <f t="shared" si="29"/>
        <v>0.85715699999999995</v>
      </c>
      <c r="T22" s="46">
        <f t="shared" si="29"/>
        <v>0.85715699999999995</v>
      </c>
      <c r="U22" s="46">
        <f t="shared" si="29"/>
        <v>0.85715699999999995</v>
      </c>
      <c r="V22" s="46">
        <f t="shared" si="29"/>
        <v>0.85715699999999995</v>
      </c>
      <c r="W22" s="46">
        <f t="shared" si="29"/>
        <v>2.3472750000000002</v>
      </c>
      <c r="X22" s="46">
        <f t="shared" si="29"/>
        <v>0.87762500000000021</v>
      </c>
      <c r="Y22" s="46">
        <f t="shared" si="29"/>
        <v>1.0948</v>
      </c>
    </row>
    <row r="23" spans="1:26" x14ac:dyDescent="0.3">
      <c r="A23" s="8" t="s">
        <v>17</v>
      </c>
      <c r="B23" s="3" t="s">
        <v>21</v>
      </c>
      <c r="C23" s="5">
        <v>3538</v>
      </c>
      <c r="D23" s="5">
        <v>6174</v>
      </c>
      <c r="E23" s="32">
        <f t="shared" si="4"/>
        <v>1.1200467321085506E-2</v>
      </c>
      <c r="F23" s="12">
        <f t="shared" si="3"/>
        <v>6272.7839999999997</v>
      </c>
      <c r="G23" s="12">
        <f t="shared" si="22"/>
        <v>98.783999999999651</v>
      </c>
      <c r="H23" s="5">
        <v>2343</v>
      </c>
      <c r="J23" s="10">
        <v>8.8999999999999999E-3</v>
      </c>
      <c r="K23" s="10" t="str">
        <f>+B22</f>
        <v>AMORTISSEMENT</v>
      </c>
      <c r="L23" s="23">
        <f>+J23*$L$5</f>
        <v>2.8695380000000003E-2</v>
      </c>
      <c r="M23" s="35">
        <f>+J23*$M$5</f>
        <v>0.11329878</v>
      </c>
      <c r="N23" s="35">
        <f>+J23*$N$5</f>
        <v>0.11329878</v>
      </c>
      <c r="O23" s="51">
        <f>+J23*$O$5</f>
        <v>5.0762039999999994E-2</v>
      </c>
      <c r="P23" s="51">
        <f t="shared" si="11"/>
        <v>2.5642679999999998E-2</v>
      </c>
      <c r="Q23" s="51">
        <f t="shared" ref="Q23:Q24" si="30">+J23*$Q$5</f>
        <v>2.5642679999999998E-2</v>
      </c>
      <c r="R23" s="51">
        <f>+J23*$R$5</f>
        <v>2.5642679999999998E-2</v>
      </c>
      <c r="S23" s="51">
        <f>+J23*$S$5</f>
        <v>2.5642679999999998E-2</v>
      </c>
      <c r="T23" s="51">
        <f>+J23*$T$5</f>
        <v>2.5642679999999998E-2</v>
      </c>
      <c r="U23" s="51">
        <f>+J23*$U$5</f>
        <v>2.5642679999999998E-2</v>
      </c>
      <c r="V23" s="51">
        <f t="shared" ref="V23:V24" si="31">+J23*$V$5</f>
        <v>2.5642679999999998E-2</v>
      </c>
      <c r="W23" s="51">
        <f t="shared" ref="W23:W24" si="32">+J23*$W$5</f>
        <v>7.0220999999999992E-2</v>
      </c>
      <c r="X23" s="51">
        <f t="shared" ref="X23:X24" si="33">+J23*$X$5</f>
        <v>2.6255000000000001E-2</v>
      </c>
      <c r="Y23" s="51">
        <f t="shared" ref="Y23:Y24" si="34">+J23*$Y$5</f>
        <v>3.2752000000000003E-2</v>
      </c>
    </row>
    <row r="24" spans="1:26" x14ac:dyDescent="0.3">
      <c r="A24" s="59" t="s">
        <v>33</v>
      </c>
      <c r="B24" s="59"/>
      <c r="C24" s="7">
        <f>+SUM(C22:C23)</f>
        <v>66271</v>
      </c>
      <c r="D24" s="7">
        <f>+SUM(D22:D23)</f>
        <v>40153</v>
      </c>
      <c r="E24" s="33">
        <f t="shared" si="4"/>
        <v>7.2842948549327227E-2</v>
      </c>
      <c r="F24" s="7">
        <f>+D24*(1+$F$3)</f>
        <v>40795.448000000004</v>
      </c>
      <c r="G24" s="13">
        <f t="shared" si="22"/>
        <v>642.44800000000396</v>
      </c>
      <c r="H24" s="7">
        <f>+SUM(H22:H23)</f>
        <v>10551</v>
      </c>
      <c r="J24" s="10">
        <v>1.6000000000000001E-3</v>
      </c>
      <c r="K24" s="10" t="str">
        <f>+B23</f>
        <v>PETIT EQUIPMT</v>
      </c>
      <c r="L24" s="23">
        <f>+J24*$L$5</f>
        <v>5.1587200000000003E-3</v>
      </c>
      <c r="M24" s="35">
        <f>+J24*$M$5</f>
        <v>2.0368320000000002E-2</v>
      </c>
      <c r="N24" s="35">
        <f>+J24*$N$5</f>
        <v>2.0368320000000002E-2</v>
      </c>
      <c r="O24" s="51">
        <f>+J24*$O$5</f>
        <v>9.1257600000000001E-3</v>
      </c>
      <c r="P24" s="51">
        <f t="shared" si="11"/>
        <v>4.60992E-3</v>
      </c>
      <c r="Q24" s="51">
        <f t="shared" si="30"/>
        <v>4.60992E-3</v>
      </c>
      <c r="R24" s="51">
        <f>+J24*$R$5</f>
        <v>4.60992E-3</v>
      </c>
      <c r="S24" s="51">
        <f>+J24*$S$5</f>
        <v>4.60992E-3</v>
      </c>
      <c r="T24" s="51">
        <f>+J24*$T$5</f>
        <v>4.60992E-3</v>
      </c>
      <c r="U24" s="51">
        <f>+J24*$U$5</f>
        <v>4.60992E-3</v>
      </c>
      <c r="V24" s="51">
        <f t="shared" si="31"/>
        <v>4.60992E-3</v>
      </c>
      <c r="W24" s="51">
        <f t="shared" si="32"/>
        <v>1.2624E-2</v>
      </c>
      <c r="X24" s="51">
        <f t="shared" si="33"/>
        <v>4.7200000000000002E-3</v>
      </c>
      <c r="Y24" s="51">
        <f t="shared" si="34"/>
        <v>5.8880000000000009E-3</v>
      </c>
    </row>
    <row r="25" spans="1:26" x14ac:dyDescent="0.3">
      <c r="J25" s="73" t="str">
        <f>+A24</f>
        <v>TOTAL CHG INVESTISSEMENTS</v>
      </c>
      <c r="K25" s="73"/>
      <c r="L25" s="30">
        <f>+L23+L24</f>
        <v>3.3854100000000005E-2</v>
      </c>
      <c r="M25" s="30">
        <f>+M23+M24</f>
        <v>0.13366710000000001</v>
      </c>
      <c r="N25" s="30">
        <f>+N23+N24</f>
        <v>0.13366710000000001</v>
      </c>
      <c r="O25" s="46">
        <f>+O23+O24</f>
        <v>5.9887799999999991E-2</v>
      </c>
      <c r="P25" s="46">
        <f t="shared" ref="P25:Y25" si="35">+P23+P24</f>
        <v>3.0252599999999998E-2</v>
      </c>
      <c r="Q25" s="46">
        <f t="shared" si="35"/>
        <v>3.0252599999999998E-2</v>
      </c>
      <c r="R25" s="46">
        <f t="shared" si="35"/>
        <v>3.0252599999999998E-2</v>
      </c>
      <c r="S25" s="46">
        <f t="shared" si="35"/>
        <v>3.0252599999999998E-2</v>
      </c>
      <c r="T25" s="46">
        <f t="shared" si="35"/>
        <v>3.0252599999999998E-2</v>
      </c>
      <c r="U25" s="46">
        <f t="shared" si="35"/>
        <v>3.0252599999999998E-2</v>
      </c>
      <c r="V25" s="46">
        <f t="shared" si="35"/>
        <v>3.0252599999999998E-2</v>
      </c>
      <c r="W25" s="46">
        <f t="shared" si="35"/>
        <v>8.2844999999999988E-2</v>
      </c>
      <c r="X25" s="46">
        <f t="shared" si="35"/>
        <v>3.0975000000000003E-2</v>
      </c>
      <c r="Y25" s="46">
        <f t="shared" si="35"/>
        <v>3.8640000000000008E-2</v>
      </c>
    </row>
    <row r="26" spans="1:26" x14ac:dyDescent="0.3">
      <c r="A26" s="59" t="s">
        <v>22</v>
      </c>
      <c r="B26" s="59"/>
      <c r="C26" s="9">
        <f t="shared" ref="C26:H26" si="36">+C10+C17+C21+C24</f>
        <v>3725884</v>
      </c>
      <c r="D26" s="9">
        <f t="shared" si="36"/>
        <v>3537118</v>
      </c>
      <c r="E26" s="34">
        <f t="shared" si="36"/>
        <v>3.6144002380144662</v>
      </c>
      <c r="F26" s="9">
        <f t="shared" si="36"/>
        <v>3593711.8879999998</v>
      </c>
      <c r="G26" s="9">
        <f t="shared" si="36"/>
        <v>56593.888000000006</v>
      </c>
      <c r="H26" s="9">
        <f t="shared" si="36"/>
        <v>727402.99</v>
      </c>
    </row>
    <row r="27" spans="1:26" ht="15.6" x14ac:dyDescent="0.3">
      <c r="I27" s="17"/>
      <c r="J27" s="78" t="s">
        <v>40</v>
      </c>
      <c r="K27" s="79"/>
      <c r="L27" s="55">
        <f t="shared" ref="L27:M27" si="37">+L18+L22+L25</f>
        <v>1.2403497400000001</v>
      </c>
      <c r="M27" s="55">
        <f t="shared" si="37"/>
        <v>4.897307940000001</v>
      </c>
      <c r="N27" s="55">
        <f>+N18+N22+N25</f>
        <v>4.897307940000001</v>
      </c>
      <c r="O27" s="56">
        <f>+O18+O22+O25</f>
        <v>2.1941749199999996</v>
      </c>
      <c r="P27" s="56">
        <f t="shared" ref="P27:Y27" si="38">+P18+P22+P25</f>
        <v>1.10839764</v>
      </c>
      <c r="Q27" s="56">
        <f t="shared" si="38"/>
        <v>1.10839764</v>
      </c>
      <c r="R27" s="56">
        <f t="shared" si="38"/>
        <v>1.10839764</v>
      </c>
      <c r="S27" s="56">
        <f t="shared" si="38"/>
        <v>1.10839764</v>
      </c>
      <c r="T27" s="56">
        <f t="shared" si="38"/>
        <v>1.10839764</v>
      </c>
      <c r="U27" s="56">
        <f t="shared" si="38"/>
        <v>1.10839764</v>
      </c>
      <c r="V27" s="56">
        <f t="shared" si="38"/>
        <v>1.10839764</v>
      </c>
      <c r="W27" s="56">
        <f t="shared" si="38"/>
        <v>3.0352829999999997</v>
      </c>
      <c r="X27" s="56">
        <f t="shared" si="38"/>
        <v>1.1348650000000002</v>
      </c>
      <c r="Y27" s="56">
        <f t="shared" si="38"/>
        <v>1.4156960000000001</v>
      </c>
    </row>
    <row r="29" spans="1:26" ht="15.6" x14ac:dyDescent="0.3">
      <c r="J29" s="71" t="s">
        <v>39</v>
      </c>
      <c r="K29" s="72"/>
      <c r="L29" s="55">
        <f>+L27+L7+L8</f>
        <v>3.10034974</v>
      </c>
      <c r="M29" s="55">
        <f t="shared" ref="M29:Y29" si="39">+M27+M7+M8</f>
        <v>11.167307940000001</v>
      </c>
      <c r="N29" s="55">
        <f t="shared" si="39"/>
        <v>11.807307939999999</v>
      </c>
      <c r="O29" s="55">
        <f t="shared" si="39"/>
        <v>4.1241749199999997</v>
      </c>
      <c r="P29" s="55">
        <f t="shared" si="39"/>
        <v>2.3183976399999997</v>
      </c>
      <c r="Q29" s="55">
        <f t="shared" si="39"/>
        <v>2.3383976400000002</v>
      </c>
      <c r="R29" s="55">
        <f t="shared" si="39"/>
        <v>2.3983976399999998</v>
      </c>
      <c r="S29" s="55">
        <f t="shared" si="39"/>
        <v>2.34839764</v>
      </c>
      <c r="T29" s="55">
        <f t="shared" si="39"/>
        <v>2.3583976399999997</v>
      </c>
      <c r="U29" s="55">
        <f t="shared" si="39"/>
        <v>2.3283976399999999</v>
      </c>
      <c r="V29" s="55">
        <f t="shared" si="39"/>
        <v>2.3983976399999998</v>
      </c>
      <c r="W29" s="55">
        <f t="shared" si="39"/>
        <v>7.5452830000000004</v>
      </c>
      <c r="X29" s="55">
        <f t="shared" si="39"/>
        <v>2.614865</v>
      </c>
      <c r="Y29" s="55">
        <f t="shared" si="39"/>
        <v>3.2256960000000001</v>
      </c>
      <c r="Z29" t="s">
        <v>43</v>
      </c>
    </row>
    <row r="30" spans="1:26" x14ac:dyDescent="0.3">
      <c r="A30" s="59" t="s">
        <v>26</v>
      </c>
      <c r="B30" s="59"/>
      <c r="C30" s="10">
        <f>+C26/C6</f>
        <v>0.98651639518969581</v>
      </c>
      <c r="D30" s="10">
        <f>+D26/D6</f>
        <v>0.94765867528863512</v>
      </c>
      <c r="E30" s="10"/>
      <c r="F30" s="10">
        <f>+F26/F6</f>
        <v>0.96282121409325316</v>
      </c>
      <c r="G30" s="10">
        <f>+F30-D30</f>
        <v>1.5162538804618042E-2</v>
      </c>
      <c r="H30" s="10">
        <f>+H26/H6</f>
        <v>0.8461391598898651</v>
      </c>
    </row>
    <row r="31" spans="1:26" x14ac:dyDescent="0.3">
      <c r="J31" s="73" t="s">
        <v>34</v>
      </c>
      <c r="K31" s="73"/>
      <c r="L31" s="30">
        <f>+L5-L29</f>
        <v>0.12385026000000021</v>
      </c>
      <c r="M31" s="30">
        <f>+M5-M29</f>
        <v>1.5628920599999994</v>
      </c>
      <c r="N31" s="30">
        <f>+N5-N29</f>
        <v>0.92289206000000057</v>
      </c>
      <c r="O31" s="46">
        <f>+O5-O29</f>
        <v>1.57942508</v>
      </c>
      <c r="P31" s="46">
        <f t="shared" ref="P31:Y31" si="40">+P5-P29</f>
        <v>0.56280236000000006</v>
      </c>
      <c r="Q31" s="46">
        <f t="shared" si="40"/>
        <v>0.5428023599999996</v>
      </c>
      <c r="R31" s="46">
        <f t="shared" si="40"/>
        <v>0.48280235999999999</v>
      </c>
      <c r="S31" s="46">
        <f t="shared" si="40"/>
        <v>0.53280235999999981</v>
      </c>
      <c r="T31" s="46">
        <f t="shared" si="40"/>
        <v>0.52280236000000002</v>
      </c>
      <c r="U31" s="46">
        <f t="shared" si="40"/>
        <v>0.55280235999999983</v>
      </c>
      <c r="V31" s="46">
        <f t="shared" si="40"/>
        <v>0.48280235999999999</v>
      </c>
      <c r="W31" s="46">
        <f t="shared" si="40"/>
        <v>0.34471699999999927</v>
      </c>
      <c r="X31" s="46">
        <f t="shared" si="40"/>
        <v>0.33513500000000018</v>
      </c>
      <c r="Y31" s="46">
        <f t="shared" si="40"/>
        <v>0.45430400000000004</v>
      </c>
    </row>
    <row r="32" spans="1:26" x14ac:dyDescent="0.3">
      <c r="A32" s="59" t="s">
        <v>23</v>
      </c>
      <c r="B32" s="59"/>
      <c r="C32" s="9">
        <f>+C6-C26</f>
        <v>50925</v>
      </c>
      <c r="D32" s="9">
        <f>+D6-D26</f>
        <v>195363</v>
      </c>
      <c r="E32" s="9"/>
      <c r="F32" s="9">
        <f>+F6-F26</f>
        <v>138769.1120000002</v>
      </c>
      <c r="G32" s="15">
        <f>+F32-D32</f>
        <v>-56593.887999999803</v>
      </c>
      <c r="H32" s="9">
        <f>+H6-H26</f>
        <v>132270.01</v>
      </c>
    </row>
    <row r="33" spans="1:25" s="67" customFormat="1" x14ac:dyDescent="0.3">
      <c r="J33" s="74" t="s">
        <v>41</v>
      </c>
      <c r="K33" s="74"/>
      <c r="L33" s="68">
        <f>+L31/L5</f>
        <v>3.8412710129644624E-2</v>
      </c>
      <c r="M33" s="68">
        <f>+M31/M5</f>
        <v>0.12277042465947113</v>
      </c>
      <c r="N33" s="68">
        <f>+N31/N5</f>
        <v>7.2496273428540051E-2</v>
      </c>
      <c r="O33" s="69">
        <f>+O31/O5</f>
        <v>0.27691722420927134</v>
      </c>
      <c r="P33" s="69">
        <f t="shared" ref="P33:Y33" si="41">+P31/P5</f>
        <v>0.19533609607108152</v>
      </c>
      <c r="Q33" s="69">
        <f t="shared" si="41"/>
        <v>0.18839454394002486</v>
      </c>
      <c r="R33" s="69">
        <f t="shared" si="41"/>
        <v>0.16756988754685548</v>
      </c>
      <c r="S33" s="69">
        <f t="shared" si="41"/>
        <v>0.18492376787449669</v>
      </c>
      <c r="T33" s="69">
        <f t="shared" si="41"/>
        <v>0.18145299180896851</v>
      </c>
      <c r="U33" s="69">
        <f t="shared" si="41"/>
        <v>0.1918653200055532</v>
      </c>
      <c r="V33" s="69">
        <f t="shared" si="41"/>
        <v>0.16756988754685548</v>
      </c>
      <c r="W33" s="69">
        <f t="shared" si="41"/>
        <v>4.3690367553865565E-2</v>
      </c>
      <c r="X33" s="69">
        <f t="shared" si="41"/>
        <v>0.11360508474576277</v>
      </c>
      <c r="Y33" s="69">
        <f t="shared" si="41"/>
        <v>0.12345217391304349</v>
      </c>
    </row>
    <row r="34" spans="1:25" x14ac:dyDescent="0.3">
      <c r="A34" s="83" t="s">
        <v>25</v>
      </c>
      <c r="B34" s="83"/>
      <c r="C34" s="10">
        <f>+C32/C6</f>
        <v>1.3483604810304148E-2</v>
      </c>
      <c r="D34" s="10">
        <f>+D32/D6</f>
        <v>5.2341324711364906E-2</v>
      </c>
      <c r="E34" s="10"/>
      <c r="F34" s="10">
        <f>+F32/F6</f>
        <v>3.7178785906746802E-2</v>
      </c>
      <c r="G34" s="14">
        <f>+F34-D34</f>
        <v>-1.5162538804618104E-2</v>
      </c>
      <c r="H34" s="10">
        <f>+H32/H6</f>
        <v>0.1538608401101349</v>
      </c>
      <c r="M34" s="36"/>
      <c r="N34" s="36"/>
    </row>
    <row r="35" spans="1:25" x14ac:dyDescent="0.3">
      <c r="K35" s="38"/>
      <c r="L35" s="40"/>
      <c r="M35" s="50"/>
      <c r="N35" s="50"/>
    </row>
    <row r="36" spans="1:25" x14ac:dyDescent="0.3">
      <c r="K36" s="40"/>
      <c r="L36" s="40"/>
      <c r="M36" s="41"/>
      <c r="N36" s="41"/>
    </row>
    <row r="37" spans="1:25" ht="21" x14ac:dyDescent="0.3">
      <c r="K37" s="75" t="s">
        <v>61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7"/>
    </row>
    <row r="38" spans="1:25" ht="72" x14ac:dyDescent="0.3">
      <c r="K38" s="65"/>
      <c r="L38" s="66" t="s">
        <v>45</v>
      </c>
      <c r="M38" s="66" t="s">
        <v>46</v>
      </c>
      <c r="N38" s="66" t="s">
        <v>47</v>
      </c>
      <c r="O38" s="66" t="s">
        <v>48</v>
      </c>
      <c r="P38" s="66" t="s">
        <v>49</v>
      </c>
      <c r="Q38" s="66" t="s">
        <v>50</v>
      </c>
      <c r="R38" s="66" t="s">
        <v>51</v>
      </c>
      <c r="S38" s="66" t="s">
        <v>52</v>
      </c>
      <c r="T38" s="66" t="s">
        <v>53</v>
      </c>
      <c r="U38" s="66" t="s">
        <v>54</v>
      </c>
      <c r="V38" s="66" t="s">
        <v>55</v>
      </c>
      <c r="W38" s="66" t="s">
        <v>56</v>
      </c>
      <c r="X38" s="66" t="s">
        <v>57</v>
      </c>
      <c r="Y38" s="66" t="s">
        <v>58</v>
      </c>
    </row>
    <row r="39" spans="1:25" x14ac:dyDescent="0.3">
      <c r="K39" s="21" t="s">
        <v>28</v>
      </c>
      <c r="L39" s="61">
        <v>3.46</v>
      </c>
      <c r="M39" s="61">
        <v>13.67</v>
      </c>
      <c r="N39" s="61">
        <v>13.67</v>
      </c>
      <c r="O39" s="62">
        <v>6.13</v>
      </c>
      <c r="P39" s="62">
        <v>3.09</v>
      </c>
      <c r="Q39" s="62">
        <v>3.09</v>
      </c>
      <c r="R39" s="62">
        <v>3.09</v>
      </c>
      <c r="S39" s="62">
        <v>3.09</v>
      </c>
      <c r="T39" s="62">
        <v>3.09</v>
      </c>
      <c r="U39" s="62">
        <v>3.09</v>
      </c>
      <c r="V39" s="62">
        <v>3.09</v>
      </c>
      <c r="W39" s="62">
        <v>8.31</v>
      </c>
      <c r="X39" s="62">
        <v>3.11</v>
      </c>
      <c r="Y39" s="62">
        <v>3.87</v>
      </c>
    </row>
    <row r="40" spans="1:25" x14ac:dyDescent="0.3">
      <c r="K40" s="21" t="s">
        <v>29</v>
      </c>
      <c r="L40" s="63">
        <v>0.02</v>
      </c>
      <c r="M40" s="63">
        <v>0.02</v>
      </c>
      <c r="N40" s="63">
        <v>0.02</v>
      </c>
      <c r="O40" s="64">
        <v>0.02</v>
      </c>
      <c r="P40" s="64">
        <v>0.02</v>
      </c>
      <c r="Q40" s="64">
        <v>0.02</v>
      </c>
      <c r="R40" s="64">
        <v>0.02</v>
      </c>
      <c r="S40" s="64">
        <v>0.02</v>
      </c>
      <c r="T40" s="64">
        <v>0.02</v>
      </c>
      <c r="U40" s="64">
        <v>0.02</v>
      </c>
      <c r="V40" s="64">
        <v>0.02</v>
      </c>
      <c r="W40" s="64">
        <v>0</v>
      </c>
      <c r="X40" s="64">
        <v>0</v>
      </c>
      <c r="Y40" s="64">
        <v>0</v>
      </c>
    </row>
    <row r="41" spans="1:25" x14ac:dyDescent="0.3">
      <c r="K41" s="21" t="s">
        <v>30</v>
      </c>
      <c r="L41" s="26">
        <f>+L39*(1-L40)</f>
        <v>3.3908</v>
      </c>
      <c r="M41" s="26">
        <f>+M39*(1-M40)</f>
        <v>13.396599999999999</v>
      </c>
      <c r="N41" s="26">
        <f>+N39*(1-N40)</f>
        <v>13.396599999999999</v>
      </c>
      <c r="O41" s="52">
        <f>+O39*(1-O40)</f>
        <v>6.0073999999999996</v>
      </c>
      <c r="P41" s="52">
        <f t="shared" ref="P41:Y41" si="42">+P39*(1-P40)</f>
        <v>3.0282</v>
      </c>
      <c r="Q41" s="52">
        <f t="shared" si="42"/>
        <v>3.0282</v>
      </c>
      <c r="R41" s="52">
        <f t="shared" si="42"/>
        <v>3.0282</v>
      </c>
      <c r="S41" s="52">
        <f t="shared" si="42"/>
        <v>3.0282</v>
      </c>
      <c r="T41" s="52">
        <f t="shared" si="42"/>
        <v>3.0282</v>
      </c>
      <c r="U41" s="52">
        <f t="shared" si="42"/>
        <v>3.0282</v>
      </c>
      <c r="V41" s="52">
        <f t="shared" si="42"/>
        <v>3.0282</v>
      </c>
      <c r="W41" s="52">
        <f t="shared" si="42"/>
        <v>8.31</v>
      </c>
      <c r="X41" s="52">
        <f t="shared" si="42"/>
        <v>3.11</v>
      </c>
      <c r="Y41" s="52">
        <f t="shared" si="42"/>
        <v>3.87</v>
      </c>
    </row>
    <row r="42" spans="1:25" x14ac:dyDescent="0.3">
      <c r="L42" s="70"/>
      <c r="M42" s="24"/>
      <c r="N42" s="24"/>
    </row>
    <row r="43" spans="1:25" ht="15.6" x14ac:dyDescent="0.3">
      <c r="K43" s="57" t="s">
        <v>31</v>
      </c>
      <c r="L43" s="58">
        <v>1.67</v>
      </c>
      <c r="M43" s="58">
        <v>6.18</v>
      </c>
      <c r="N43" s="58">
        <v>6.59</v>
      </c>
      <c r="O43" s="57">
        <v>1.7</v>
      </c>
      <c r="P43" s="57">
        <v>1.1399999999999999</v>
      </c>
      <c r="Q43" s="57">
        <v>1.1299999999999999</v>
      </c>
      <c r="R43" s="57">
        <v>1.22</v>
      </c>
      <c r="S43" s="57">
        <v>1.17</v>
      </c>
      <c r="T43" s="57">
        <v>1.19</v>
      </c>
      <c r="U43" s="57">
        <v>1.1599999999999999</v>
      </c>
      <c r="V43" s="57">
        <v>1.23</v>
      </c>
      <c r="W43" s="57">
        <f>1.09*4</f>
        <v>4.3600000000000003</v>
      </c>
      <c r="X43" s="57">
        <v>1.38</v>
      </c>
      <c r="Y43" s="57">
        <v>1.71</v>
      </c>
    </row>
    <row r="44" spans="1:25" ht="15.6" x14ac:dyDescent="0.3">
      <c r="K44" s="57" t="s">
        <v>42</v>
      </c>
      <c r="L44" s="58">
        <v>0.11</v>
      </c>
      <c r="M44" s="58">
        <v>0.27</v>
      </c>
      <c r="N44" s="58">
        <v>0.35</v>
      </c>
      <c r="O44" s="57">
        <v>0.24</v>
      </c>
      <c r="P44" s="57">
        <v>0.08</v>
      </c>
      <c r="Q44" s="57">
        <v>0.08</v>
      </c>
      <c r="R44" s="57">
        <v>0.08</v>
      </c>
      <c r="S44" s="57">
        <v>0.08</v>
      </c>
      <c r="T44" s="57">
        <v>0.08</v>
      </c>
      <c r="U44" s="57">
        <v>0.08</v>
      </c>
      <c r="V44" s="57">
        <v>0.08</v>
      </c>
      <c r="W44" s="57">
        <v>0.23</v>
      </c>
      <c r="X44" s="57">
        <v>0.13</v>
      </c>
      <c r="Y44" s="57">
        <v>0.13</v>
      </c>
    </row>
    <row r="45" spans="1:25" x14ac:dyDescent="0.3">
      <c r="L45" s="24"/>
      <c r="M45" s="24"/>
      <c r="N45" s="24"/>
    </row>
    <row r="46" spans="1:25" ht="15.6" x14ac:dyDescent="0.3">
      <c r="K46" s="21" t="s">
        <v>23</v>
      </c>
      <c r="L46" s="54">
        <f>+L41-L43-L44</f>
        <v>1.6108</v>
      </c>
      <c r="M46" s="54">
        <f t="shared" ref="M46:Y46" si="43">+M41-M43-M44</f>
        <v>6.9466000000000001</v>
      </c>
      <c r="N46" s="54">
        <f t="shared" si="43"/>
        <v>6.4565999999999999</v>
      </c>
      <c r="O46" s="54">
        <f t="shared" si="43"/>
        <v>4.0673999999999992</v>
      </c>
      <c r="P46" s="54">
        <f t="shared" si="43"/>
        <v>1.8082</v>
      </c>
      <c r="Q46" s="54">
        <f t="shared" si="43"/>
        <v>1.8182</v>
      </c>
      <c r="R46" s="54">
        <f t="shared" si="43"/>
        <v>1.7282</v>
      </c>
      <c r="S46" s="54">
        <f t="shared" si="43"/>
        <v>1.7782</v>
      </c>
      <c r="T46" s="54">
        <f t="shared" si="43"/>
        <v>1.7582</v>
      </c>
      <c r="U46" s="54">
        <f t="shared" si="43"/>
        <v>1.7882</v>
      </c>
      <c r="V46" s="54">
        <f t="shared" si="43"/>
        <v>1.7181999999999999</v>
      </c>
      <c r="W46" s="54">
        <f t="shared" si="43"/>
        <v>3.72</v>
      </c>
      <c r="X46" s="54">
        <f t="shared" si="43"/>
        <v>1.6</v>
      </c>
      <c r="Y46" s="54">
        <f t="shared" si="43"/>
        <v>2.0300000000000002</v>
      </c>
    </row>
    <row r="47" spans="1:25" ht="24" x14ac:dyDescent="0.3">
      <c r="J47" s="60" t="s">
        <v>59</v>
      </c>
    </row>
    <row r="48" spans="1:25" x14ac:dyDescent="0.3">
      <c r="J48" s="10">
        <v>1.8800000000000001E-2</v>
      </c>
      <c r="K48" s="10" t="str">
        <f>+K12</f>
        <v>EDF</v>
      </c>
      <c r="L48" s="23">
        <f>+J48*$L$5</f>
        <v>6.0614960000000002E-2</v>
      </c>
      <c r="M48" s="35">
        <f t="shared" ref="M48:M53" si="44">+J48*$M$5</f>
        <v>0.23932776</v>
      </c>
      <c r="N48" s="35">
        <f>+J48*$N$5</f>
        <v>0.23932776</v>
      </c>
      <c r="O48" s="51">
        <f>+J48*$O$5</f>
        <v>0.10722768000000001</v>
      </c>
      <c r="P48" s="51">
        <f>+$P$5*J48</f>
        <v>5.4166559999999996E-2</v>
      </c>
      <c r="Q48" s="51">
        <f>+J48*$Q$5</f>
        <v>5.4166559999999996E-2</v>
      </c>
      <c r="R48" s="51">
        <f>+J48*$R$5</f>
        <v>5.4166559999999996E-2</v>
      </c>
      <c r="S48" s="51">
        <f>+J48*$S$5</f>
        <v>5.4166559999999996E-2</v>
      </c>
      <c r="T48" s="51">
        <f>+J48*$T$5</f>
        <v>5.4166559999999996E-2</v>
      </c>
      <c r="U48" s="51">
        <f>+J48*$U$5</f>
        <v>5.4166559999999996E-2</v>
      </c>
      <c r="V48" s="51">
        <f>+J48*$V$5</f>
        <v>5.4166559999999996E-2</v>
      </c>
      <c r="W48" s="51">
        <f>+J48*$W$5</f>
        <v>0.14833199999999999</v>
      </c>
      <c r="X48" s="51">
        <f>+J48*$X$5</f>
        <v>5.5460000000000002E-2</v>
      </c>
      <c r="Y48" s="51">
        <f>+J48*$Y$5</f>
        <v>6.9184000000000009E-2</v>
      </c>
    </row>
    <row r="49" spans="10:25" x14ac:dyDescent="0.3">
      <c r="J49" s="10">
        <v>2.0999999999999999E-3</v>
      </c>
      <c r="K49" s="10" t="str">
        <f>+K13</f>
        <v>EAU</v>
      </c>
      <c r="L49" s="23">
        <f t="shared" ref="L49:L53" si="45">+J49*$L$5</f>
        <v>6.7708200000000003E-3</v>
      </c>
      <c r="M49" s="35">
        <f t="shared" si="44"/>
        <v>2.6733419999999997E-2</v>
      </c>
      <c r="N49" s="35">
        <f t="shared" ref="N49:N53" si="46">+J49*$N$5</f>
        <v>2.6733419999999997E-2</v>
      </c>
      <c r="O49" s="51">
        <f t="shared" ref="O49:O53" si="47">+J49*$O$5</f>
        <v>1.1977559999999998E-2</v>
      </c>
      <c r="P49" s="51">
        <f t="shared" ref="P49:P53" si="48">+$P$5*J49</f>
        <v>6.0505199999999993E-3</v>
      </c>
      <c r="Q49" s="51">
        <f t="shared" ref="Q49:Q53" si="49">+J49*$Q$5</f>
        <v>6.0505199999999993E-3</v>
      </c>
      <c r="R49" s="51">
        <f t="shared" ref="R49:R53" si="50">+J49*$R$5</f>
        <v>6.0505199999999993E-3</v>
      </c>
      <c r="S49" s="51">
        <f t="shared" ref="S49:S53" si="51">+J49*$S$5</f>
        <v>6.0505199999999993E-3</v>
      </c>
      <c r="T49" s="51">
        <f t="shared" ref="T49:T53" si="52">+J49*$T$5</f>
        <v>6.0505199999999993E-3</v>
      </c>
      <c r="U49" s="51">
        <f t="shared" ref="U49:U53" si="53">+J49*$U$5</f>
        <v>6.0505199999999993E-3</v>
      </c>
      <c r="V49" s="51">
        <f t="shared" ref="V49:V53" si="54">+J49*$V$5</f>
        <v>6.0505199999999993E-3</v>
      </c>
      <c r="W49" s="51">
        <f t="shared" ref="W49:W53" si="55">+J49*$W$5</f>
        <v>1.6568999999999997E-2</v>
      </c>
      <c r="X49" s="51">
        <f t="shared" ref="X49:X53" si="56">+J49*$X$5</f>
        <v>6.195E-3</v>
      </c>
      <c r="Y49" s="51">
        <f t="shared" ref="Y49:Y53" si="57">+J49*$Y$5</f>
        <v>7.7279999999999996E-3</v>
      </c>
    </row>
    <row r="50" spans="10:25" x14ac:dyDescent="0.3">
      <c r="J50" s="10">
        <v>9.1000000000000004E-3</v>
      </c>
      <c r="K50" s="10" t="str">
        <f t="shared" ref="K50:K53" si="58">+K14</f>
        <v>GAZ</v>
      </c>
      <c r="L50" s="23">
        <f t="shared" si="45"/>
        <v>2.9340220000000004E-2</v>
      </c>
      <c r="M50" s="35">
        <f t="shared" si="44"/>
        <v>0.11584482</v>
      </c>
      <c r="N50" s="35">
        <f t="shared" si="46"/>
        <v>0.11584482</v>
      </c>
      <c r="O50" s="51">
        <f t="shared" si="47"/>
        <v>5.1902759999999999E-2</v>
      </c>
      <c r="P50" s="51">
        <f t="shared" si="48"/>
        <v>2.621892E-2</v>
      </c>
      <c r="Q50" s="51">
        <f t="shared" si="49"/>
        <v>2.621892E-2</v>
      </c>
      <c r="R50" s="51">
        <f t="shared" si="50"/>
        <v>2.621892E-2</v>
      </c>
      <c r="S50" s="51">
        <f t="shared" si="51"/>
        <v>2.621892E-2</v>
      </c>
      <c r="T50" s="51">
        <f t="shared" si="52"/>
        <v>2.621892E-2</v>
      </c>
      <c r="U50" s="51">
        <f t="shared" si="53"/>
        <v>2.621892E-2</v>
      </c>
      <c r="V50" s="51">
        <f t="shared" si="54"/>
        <v>2.621892E-2</v>
      </c>
      <c r="W50" s="51">
        <f t="shared" si="55"/>
        <v>7.1799000000000002E-2</v>
      </c>
      <c r="X50" s="51">
        <f t="shared" si="56"/>
        <v>2.6845000000000004E-2</v>
      </c>
      <c r="Y50" s="51">
        <f t="shared" si="57"/>
        <v>3.3488000000000004E-2</v>
      </c>
    </row>
    <row r="51" spans="10:25" x14ac:dyDescent="0.3">
      <c r="J51" s="28">
        <v>0</v>
      </c>
      <c r="K51" s="10" t="str">
        <f t="shared" si="58"/>
        <v>INTERIM</v>
      </c>
      <c r="L51" s="23">
        <f t="shared" si="45"/>
        <v>0</v>
      </c>
      <c r="M51" s="35">
        <f t="shared" si="44"/>
        <v>0</v>
      </c>
      <c r="N51" s="35">
        <f t="shared" si="46"/>
        <v>0</v>
      </c>
      <c r="O51" s="51">
        <f t="shared" si="47"/>
        <v>0</v>
      </c>
      <c r="P51" s="51">
        <f t="shared" si="48"/>
        <v>0</v>
      </c>
      <c r="Q51" s="4">
        <f t="shared" si="49"/>
        <v>0</v>
      </c>
      <c r="R51" s="4">
        <f t="shared" si="50"/>
        <v>0</v>
      </c>
      <c r="S51" s="4">
        <f t="shared" si="51"/>
        <v>0</v>
      </c>
      <c r="T51" s="4">
        <f t="shared" si="52"/>
        <v>0</v>
      </c>
      <c r="U51" s="4">
        <f t="shared" si="53"/>
        <v>0</v>
      </c>
      <c r="V51" s="4">
        <f t="shared" si="54"/>
        <v>0</v>
      </c>
      <c r="W51" s="4">
        <f t="shared" si="55"/>
        <v>0</v>
      </c>
      <c r="X51" s="4">
        <f t="shared" si="56"/>
        <v>0</v>
      </c>
      <c r="Y51" s="4">
        <f t="shared" si="57"/>
        <v>0</v>
      </c>
    </row>
    <row r="52" spans="10:25" x14ac:dyDescent="0.3">
      <c r="J52" s="28">
        <v>8.0999999999999996E-3</v>
      </c>
      <c r="K52" s="10" t="str">
        <f t="shared" si="58"/>
        <v>COMMISSION</v>
      </c>
      <c r="L52" s="23">
        <f t="shared" si="45"/>
        <v>2.611602E-2</v>
      </c>
      <c r="M52" s="35">
        <f t="shared" si="44"/>
        <v>0.10311461999999999</v>
      </c>
      <c r="N52" s="35">
        <f t="shared" si="46"/>
        <v>0.10311461999999999</v>
      </c>
      <c r="O52" s="51">
        <f t="shared" si="47"/>
        <v>4.6199159999999996E-2</v>
      </c>
      <c r="P52" s="51">
        <f t="shared" si="48"/>
        <v>2.3337719999999996E-2</v>
      </c>
      <c r="Q52" s="51">
        <f t="shared" si="49"/>
        <v>2.3337719999999996E-2</v>
      </c>
      <c r="R52" s="51">
        <f t="shared" si="50"/>
        <v>2.3337719999999996E-2</v>
      </c>
      <c r="S52" s="51">
        <f t="shared" si="51"/>
        <v>2.3337719999999996E-2</v>
      </c>
      <c r="T52" s="51">
        <f t="shared" si="52"/>
        <v>2.3337719999999996E-2</v>
      </c>
      <c r="U52" s="51">
        <f t="shared" si="53"/>
        <v>2.3337719999999996E-2</v>
      </c>
      <c r="V52" s="51">
        <f t="shared" si="54"/>
        <v>2.3337719999999996E-2</v>
      </c>
      <c r="W52" s="51">
        <f t="shared" si="55"/>
        <v>6.3908999999999994E-2</v>
      </c>
      <c r="X52" s="51">
        <f t="shared" si="56"/>
        <v>2.3895E-2</v>
      </c>
      <c r="Y52" s="51">
        <f t="shared" si="57"/>
        <v>2.9808000000000001E-2</v>
      </c>
    </row>
    <row r="53" spans="10:25" x14ac:dyDescent="0.3">
      <c r="J53" s="28">
        <v>3.5799999999999998E-2</v>
      </c>
      <c r="K53" s="10" t="str">
        <f t="shared" si="58"/>
        <v>TRANSPORT</v>
      </c>
      <c r="L53" s="23">
        <f t="shared" si="45"/>
        <v>0.11542636000000001</v>
      </c>
      <c r="M53" s="35">
        <f t="shared" si="44"/>
        <v>0.45574115999999998</v>
      </c>
      <c r="N53" s="35">
        <f t="shared" si="46"/>
        <v>0.45574115999999998</v>
      </c>
      <c r="O53" s="51">
        <f t="shared" si="47"/>
        <v>0.20418887999999999</v>
      </c>
      <c r="P53" s="51">
        <f t="shared" si="48"/>
        <v>0.10314695999999998</v>
      </c>
      <c r="Q53" s="51">
        <f t="shared" si="49"/>
        <v>0.10314695999999998</v>
      </c>
      <c r="R53" s="51">
        <f t="shared" si="50"/>
        <v>0.10314695999999998</v>
      </c>
      <c r="S53" s="51">
        <f t="shared" si="51"/>
        <v>0.10314695999999998</v>
      </c>
      <c r="T53" s="51">
        <f t="shared" si="52"/>
        <v>0.10314695999999998</v>
      </c>
      <c r="U53" s="51">
        <f t="shared" si="53"/>
        <v>0.10314695999999998</v>
      </c>
      <c r="V53" s="51">
        <f t="shared" si="54"/>
        <v>0.10314695999999998</v>
      </c>
      <c r="W53" s="51">
        <f t="shared" si="55"/>
        <v>0.28246199999999999</v>
      </c>
      <c r="X53" s="51">
        <f t="shared" si="56"/>
        <v>0.10561</v>
      </c>
      <c r="Y53" s="51">
        <f t="shared" si="57"/>
        <v>0.131744</v>
      </c>
    </row>
    <row r="54" spans="10:25" x14ac:dyDescent="0.3">
      <c r="J54" s="73" t="str">
        <f>+J18</f>
        <v>TOTAL CHG EXT</v>
      </c>
      <c r="K54" s="73"/>
      <c r="L54" s="31">
        <f>+SUM(L48:L53)</f>
        <v>0.23826838</v>
      </c>
      <c r="M54" s="31">
        <f>+SUM(M48:M53)</f>
        <v>0.94076177999999999</v>
      </c>
      <c r="N54" s="31">
        <f>+SUM(N48:N53)</f>
        <v>0.94076177999999999</v>
      </c>
      <c r="O54" s="53">
        <f>+SUM(O48:O53)</f>
        <v>0.42149603999999996</v>
      </c>
      <c r="P54" s="53">
        <f t="shared" ref="P54:Y54" si="59">+SUM(P48:P53)</f>
        <v>0.21292067999999997</v>
      </c>
      <c r="Q54" s="53">
        <f t="shared" si="59"/>
        <v>0.21292067999999997</v>
      </c>
      <c r="R54" s="53">
        <f t="shared" si="59"/>
        <v>0.21292067999999997</v>
      </c>
      <c r="S54" s="53">
        <f t="shared" si="59"/>
        <v>0.21292067999999997</v>
      </c>
      <c r="T54" s="53">
        <f t="shared" si="59"/>
        <v>0.21292067999999997</v>
      </c>
      <c r="U54" s="53">
        <f t="shared" si="59"/>
        <v>0.21292067999999997</v>
      </c>
      <c r="V54" s="53">
        <f t="shared" si="59"/>
        <v>0.21292067999999997</v>
      </c>
      <c r="W54" s="53">
        <f t="shared" si="59"/>
        <v>0.58307100000000001</v>
      </c>
      <c r="X54" s="53">
        <f t="shared" si="59"/>
        <v>0.218005</v>
      </c>
      <c r="Y54" s="53">
        <f t="shared" si="59"/>
        <v>0.27195199999999997</v>
      </c>
    </row>
    <row r="55" spans="10:25" x14ac:dyDescent="0.3">
      <c r="J55" s="28">
        <v>0.20930000000000001</v>
      </c>
      <c r="K55" s="10" t="str">
        <f>+K19</f>
        <v>MASSE SALARIALE</v>
      </c>
      <c r="L55" s="23">
        <f>+J55*$L$5</f>
        <v>0.67482506000000009</v>
      </c>
      <c r="M55" s="35">
        <f>+J55*$M$5</f>
        <v>2.66443086</v>
      </c>
      <c r="N55" s="35">
        <f>+J55*$N$5</f>
        <v>2.66443086</v>
      </c>
      <c r="O55" s="51">
        <f>+J55*$O$5</f>
        <v>1.1937634800000001</v>
      </c>
      <c r="P55" s="51">
        <f t="shared" ref="P55:P57" si="60">+$P$5*J55</f>
        <v>0.60303516000000001</v>
      </c>
      <c r="Q55" s="51">
        <f t="shared" ref="Q55:Q57" si="61">+J55*$Q$5</f>
        <v>0.60303516000000001</v>
      </c>
      <c r="R55" s="51">
        <f t="shared" ref="R55:R57" si="62">+J55*$R$5</f>
        <v>0.60303516000000001</v>
      </c>
      <c r="S55" s="51">
        <f>+J55*$S$5</f>
        <v>0.60303516000000001</v>
      </c>
      <c r="T55" s="51">
        <f>+J55*$T$5</f>
        <v>0.60303516000000001</v>
      </c>
      <c r="U55" s="51">
        <f>+J55*$U$5</f>
        <v>0.60303516000000001</v>
      </c>
      <c r="V55" s="51">
        <f t="shared" ref="V55:V57" si="63">+J55*$V$5</f>
        <v>0.60303516000000001</v>
      </c>
      <c r="W55" s="51">
        <f t="shared" ref="W55:W57" si="64">+J55*$W$5</f>
        <v>1.6513770000000001</v>
      </c>
      <c r="X55" s="51">
        <f t="shared" ref="X55:X57" si="65">+J55*$X$5</f>
        <v>0.61743500000000007</v>
      </c>
      <c r="Y55" s="51">
        <f t="shared" ref="Y55:Y57" si="66">+J55*$Y$5</f>
        <v>0.77022400000000013</v>
      </c>
    </row>
    <row r="56" spans="10:25" x14ac:dyDescent="0.3">
      <c r="J56" s="28">
        <v>6.1600000000000002E-2</v>
      </c>
      <c r="K56" s="10" t="str">
        <f t="shared" ref="K56:K57" si="67">+K20</f>
        <v>CHG SOC</v>
      </c>
      <c r="L56" s="23">
        <f>+J56*$L$5</f>
        <v>0.19861072000000002</v>
      </c>
      <c r="M56" s="35">
        <f>+J56*$M$5</f>
        <v>0.78418032000000004</v>
      </c>
      <c r="N56" s="35">
        <f>+J56*$N$5</f>
        <v>0.78418032000000004</v>
      </c>
      <c r="O56" s="51">
        <f>+J56*$O$5</f>
        <v>0.35134176</v>
      </c>
      <c r="P56" s="51">
        <f t="shared" si="60"/>
        <v>0.17748191999999999</v>
      </c>
      <c r="Q56" s="51">
        <f t="shared" si="61"/>
        <v>0.17748191999999999</v>
      </c>
      <c r="R56" s="51">
        <f t="shared" si="62"/>
        <v>0.17748191999999999</v>
      </c>
      <c r="S56" s="51">
        <f>+J56*$S$5</f>
        <v>0.17748191999999999</v>
      </c>
      <c r="T56" s="51">
        <f>+J56*$T$5</f>
        <v>0.17748191999999999</v>
      </c>
      <c r="U56" s="51">
        <f>+J56*$U$5</f>
        <v>0.17748191999999999</v>
      </c>
      <c r="V56" s="51">
        <f t="shared" si="63"/>
        <v>0.17748191999999999</v>
      </c>
      <c r="W56" s="51">
        <f t="shared" si="64"/>
        <v>0.48602400000000001</v>
      </c>
      <c r="X56" s="51">
        <f t="shared" si="65"/>
        <v>0.18172000000000002</v>
      </c>
      <c r="Y56" s="51">
        <f t="shared" si="66"/>
        <v>0.22668800000000003</v>
      </c>
    </row>
    <row r="57" spans="10:25" x14ac:dyDescent="0.3">
      <c r="J57" s="10">
        <v>4.1000000000000003E-3</v>
      </c>
      <c r="K57" s="10" t="str">
        <f t="shared" si="67"/>
        <v>CHG FISC</v>
      </c>
      <c r="L57" s="23">
        <f>+J57*$L$5</f>
        <v>1.3219220000000002E-2</v>
      </c>
      <c r="M57" s="35">
        <f>+J57*$M$5</f>
        <v>5.2193820000000002E-2</v>
      </c>
      <c r="N57" s="35">
        <f>+J57*$N$5</f>
        <v>5.2193820000000002E-2</v>
      </c>
      <c r="O57" s="51">
        <f>+J57*$O$5</f>
        <v>2.3384760000000001E-2</v>
      </c>
      <c r="P57" s="51">
        <f t="shared" si="60"/>
        <v>1.1812919999999999E-2</v>
      </c>
      <c r="Q57" s="51">
        <f t="shared" si="61"/>
        <v>1.1812919999999999E-2</v>
      </c>
      <c r="R57" s="51">
        <f t="shared" si="62"/>
        <v>1.1812919999999999E-2</v>
      </c>
      <c r="S57" s="51">
        <f>+J57*$S$5</f>
        <v>1.1812919999999999E-2</v>
      </c>
      <c r="T57" s="51">
        <f>+J57*$T$5</f>
        <v>1.1812919999999999E-2</v>
      </c>
      <c r="U57" s="51">
        <f>+J57*$U$5</f>
        <v>1.1812919999999999E-2</v>
      </c>
      <c r="V57" s="51">
        <f t="shared" si="63"/>
        <v>1.1812919999999999E-2</v>
      </c>
      <c r="W57" s="51">
        <f t="shared" si="64"/>
        <v>3.2349000000000003E-2</v>
      </c>
      <c r="X57" s="51">
        <f t="shared" si="65"/>
        <v>1.2095000000000002E-2</v>
      </c>
      <c r="Y57" s="51">
        <f t="shared" si="66"/>
        <v>1.5088000000000002E-2</v>
      </c>
    </row>
    <row r="58" spans="10:25" x14ac:dyDescent="0.3">
      <c r="J58" s="73">
        <f>+A57</f>
        <v>0</v>
      </c>
      <c r="K58" s="73"/>
      <c r="L58" s="31">
        <f>+SUM(L55:L57)</f>
        <v>0.88665500000000008</v>
      </c>
      <c r="M58" s="31">
        <f>+SUM(M55:M57)</f>
        <v>3.5008049999999997</v>
      </c>
      <c r="N58" s="31">
        <f>+SUM(N55:N57)</f>
        <v>3.5008049999999997</v>
      </c>
      <c r="O58" s="46">
        <f>+SUM(O55:O57)</f>
        <v>1.5684899999999999</v>
      </c>
      <c r="P58" s="46">
        <f t="shared" ref="P58:Y58" si="68">+SUM(P55:P57)</f>
        <v>0.79232999999999998</v>
      </c>
      <c r="Q58" s="46">
        <f t="shared" si="68"/>
        <v>0.79232999999999998</v>
      </c>
      <c r="R58" s="46">
        <f t="shared" si="68"/>
        <v>0.79232999999999998</v>
      </c>
      <c r="S58" s="46">
        <f t="shared" si="68"/>
        <v>0.79232999999999998</v>
      </c>
      <c r="T58" s="46">
        <f t="shared" si="68"/>
        <v>0.79232999999999998</v>
      </c>
      <c r="U58" s="46">
        <f t="shared" si="68"/>
        <v>0.79232999999999998</v>
      </c>
      <c r="V58" s="46">
        <f t="shared" si="68"/>
        <v>0.79232999999999998</v>
      </c>
      <c r="W58" s="46">
        <f t="shared" si="68"/>
        <v>2.1697500000000001</v>
      </c>
      <c r="X58" s="46">
        <f t="shared" si="68"/>
        <v>0.81125000000000003</v>
      </c>
      <c r="Y58" s="46">
        <f t="shared" si="68"/>
        <v>1.0120000000000002</v>
      </c>
    </row>
    <row r="59" spans="10:25" x14ac:dyDescent="0.3">
      <c r="J59" s="10">
        <v>9.1999999999999998E-3</v>
      </c>
      <c r="K59" s="10" t="str">
        <f>+K23</f>
        <v>AMORTISSEMENT</v>
      </c>
      <c r="L59" s="23">
        <f>+J59*$L$5</f>
        <v>2.9662640000000001E-2</v>
      </c>
      <c r="M59" s="35">
        <f>+J59*$M$5</f>
        <v>0.11711784</v>
      </c>
      <c r="N59" s="35">
        <f>+J59*$N$5</f>
        <v>0.11711784</v>
      </c>
      <c r="O59" s="51">
        <f>+J59*$O$5</f>
        <v>5.2473119999999998E-2</v>
      </c>
      <c r="P59" s="51">
        <f t="shared" ref="P59:P60" si="69">+$P$5*J59</f>
        <v>2.6507039999999999E-2</v>
      </c>
      <c r="Q59" s="51">
        <f t="shared" ref="Q59:Q60" si="70">+J59*$Q$5</f>
        <v>2.6507039999999999E-2</v>
      </c>
      <c r="R59" s="51">
        <f>+J59*$R$5</f>
        <v>2.6507039999999999E-2</v>
      </c>
      <c r="S59" s="51">
        <f>+J59*$S$5</f>
        <v>2.6507039999999999E-2</v>
      </c>
      <c r="T59" s="51">
        <f>+J59*$T$5</f>
        <v>2.6507039999999999E-2</v>
      </c>
      <c r="U59" s="51">
        <f>+J59*$U$5</f>
        <v>2.6507039999999999E-2</v>
      </c>
      <c r="V59" s="51">
        <f t="shared" ref="V59:V60" si="71">+J59*$V$5</f>
        <v>2.6507039999999999E-2</v>
      </c>
      <c r="W59" s="51">
        <f t="shared" ref="W59:W60" si="72">+J59*$W$5</f>
        <v>7.2588E-2</v>
      </c>
      <c r="X59" s="51">
        <f t="shared" ref="X59:X60" si="73">+J59*$X$5</f>
        <v>2.7140000000000001E-2</v>
      </c>
      <c r="Y59" s="51">
        <f t="shared" ref="Y59:Y60" si="74">+J59*$Y$5</f>
        <v>3.3856000000000004E-2</v>
      </c>
    </row>
    <row r="60" spans="10:25" x14ac:dyDescent="0.3">
      <c r="J60" s="10">
        <v>1.2999999999999999E-3</v>
      </c>
      <c r="K60" s="10" t="str">
        <f>+K24</f>
        <v>PETIT EQUIPMT</v>
      </c>
      <c r="L60" s="23">
        <f>+J60*$L$5</f>
        <v>4.1914600000000002E-3</v>
      </c>
      <c r="M60" s="35">
        <f>+J60*$M$5</f>
        <v>1.654926E-2</v>
      </c>
      <c r="N60" s="35">
        <f>+J60*$N$5</f>
        <v>1.654926E-2</v>
      </c>
      <c r="O60" s="51">
        <f>+J60*$O$5</f>
        <v>7.414679999999999E-3</v>
      </c>
      <c r="P60" s="51">
        <f t="shared" si="69"/>
        <v>3.7455599999999993E-3</v>
      </c>
      <c r="Q60" s="51">
        <f t="shared" si="70"/>
        <v>3.7455599999999993E-3</v>
      </c>
      <c r="R60" s="51">
        <f>+J60*$R$5</f>
        <v>3.7455599999999993E-3</v>
      </c>
      <c r="S60" s="51">
        <f>+J60*$S$5</f>
        <v>3.7455599999999993E-3</v>
      </c>
      <c r="T60" s="51">
        <f>+J60*$T$5</f>
        <v>3.7455599999999993E-3</v>
      </c>
      <c r="U60" s="51">
        <f>+J60*$U$5</f>
        <v>3.7455599999999993E-3</v>
      </c>
      <c r="V60" s="51">
        <f t="shared" si="71"/>
        <v>3.7455599999999993E-3</v>
      </c>
      <c r="W60" s="51">
        <f t="shared" si="72"/>
        <v>1.0256999999999999E-2</v>
      </c>
      <c r="X60" s="51">
        <f t="shared" si="73"/>
        <v>3.8349999999999999E-3</v>
      </c>
      <c r="Y60" s="51">
        <f t="shared" si="74"/>
        <v>4.7840000000000001E-3</v>
      </c>
    </row>
    <row r="61" spans="10:25" x14ac:dyDescent="0.3">
      <c r="J61" s="73">
        <f>+A60</f>
        <v>0</v>
      </c>
      <c r="K61" s="73"/>
      <c r="L61" s="30">
        <f>+L59+L60</f>
        <v>3.3854099999999998E-2</v>
      </c>
      <c r="M61" s="30">
        <f>+M59+M60</f>
        <v>0.13366710000000001</v>
      </c>
      <c r="N61" s="30">
        <f>+N59+N60</f>
        <v>0.13366710000000001</v>
      </c>
      <c r="O61" s="46">
        <f>+O59+O60</f>
        <v>5.9887799999999998E-2</v>
      </c>
      <c r="P61" s="46">
        <f t="shared" ref="P61:Y61" si="75">+P59+P60</f>
        <v>3.0252599999999998E-2</v>
      </c>
      <c r="Q61" s="46">
        <f t="shared" si="75"/>
        <v>3.0252599999999998E-2</v>
      </c>
      <c r="R61" s="46">
        <f t="shared" si="75"/>
        <v>3.0252599999999998E-2</v>
      </c>
      <c r="S61" s="46">
        <f t="shared" si="75"/>
        <v>3.0252599999999998E-2</v>
      </c>
      <c r="T61" s="46">
        <f t="shared" si="75"/>
        <v>3.0252599999999998E-2</v>
      </c>
      <c r="U61" s="46">
        <f t="shared" si="75"/>
        <v>3.0252599999999998E-2</v>
      </c>
      <c r="V61" s="46">
        <f t="shared" si="75"/>
        <v>3.0252599999999998E-2</v>
      </c>
      <c r="W61" s="46">
        <f t="shared" si="75"/>
        <v>8.2845000000000002E-2</v>
      </c>
      <c r="X61" s="46">
        <f t="shared" si="75"/>
        <v>3.0975000000000003E-2</v>
      </c>
      <c r="Y61" s="46">
        <f t="shared" si="75"/>
        <v>3.8640000000000008E-2</v>
      </c>
    </row>
    <row r="63" spans="10:25" ht="15.6" x14ac:dyDescent="0.3">
      <c r="J63" s="78" t="s">
        <v>40</v>
      </c>
      <c r="K63" s="79"/>
      <c r="L63" s="55">
        <f t="shared" ref="L63:M63" si="76">+L54+L58+L61</f>
        <v>1.1587774799999999</v>
      </c>
      <c r="M63" s="55">
        <f t="shared" si="76"/>
        <v>4.5752338799999999</v>
      </c>
      <c r="N63" s="55">
        <f>+N54+N58+N61</f>
        <v>4.5752338799999999</v>
      </c>
      <c r="O63" s="56">
        <f>+O54+O58+O61</f>
        <v>2.0498738399999996</v>
      </c>
      <c r="P63" s="56">
        <f t="shared" ref="P63:Y63" si="77">+P54+P58+P61</f>
        <v>1.0355032800000001</v>
      </c>
      <c r="Q63" s="56">
        <f t="shared" si="77"/>
        <v>1.0355032800000001</v>
      </c>
      <c r="R63" s="56">
        <f t="shared" si="77"/>
        <v>1.0355032800000001</v>
      </c>
      <c r="S63" s="56">
        <f t="shared" si="77"/>
        <v>1.0355032800000001</v>
      </c>
      <c r="T63" s="56">
        <f t="shared" si="77"/>
        <v>1.0355032800000001</v>
      </c>
      <c r="U63" s="56">
        <f t="shared" si="77"/>
        <v>1.0355032800000001</v>
      </c>
      <c r="V63" s="56">
        <f t="shared" si="77"/>
        <v>1.0355032800000001</v>
      </c>
      <c r="W63" s="56">
        <f t="shared" si="77"/>
        <v>2.8356659999999998</v>
      </c>
      <c r="X63" s="56">
        <f t="shared" si="77"/>
        <v>1.06023</v>
      </c>
      <c r="Y63" s="56">
        <f t="shared" si="77"/>
        <v>1.3225920000000002</v>
      </c>
    </row>
    <row r="65" spans="10:25" ht="15.6" x14ac:dyDescent="0.3">
      <c r="J65" s="71" t="s">
        <v>39</v>
      </c>
      <c r="K65" s="72"/>
      <c r="L65" s="55">
        <f>+L63+L43+L44</f>
        <v>2.9387774799999997</v>
      </c>
      <c r="M65" s="55">
        <f t="shared" ref="M65:Y65" si="78">+M63+M43+M44</f>
        <v>11.025233879999998</v>
      </c>
      <c r="N65" s="55">
        <f t="shared" si="78"/>
        <v>11.515233879999998</v>
      </c>
      <c r="O65" s="55">
        <f t="shared" si="78"/>
        <v>3.9898738399999996</v>
      </c>
      <c r="P65" s="55">
        <f t="shared" si="78"/>
        <v>2.2555032800000001</v>
      </c>
      <c r="Q65" s="55">
        <f t="shared" si="78"/>
        <v>2.2455032800000003</v>
      </c>
      <c r="R65" s="55">
        <f t="shared" si="78"/>
        <v>2.3355032800000002</v>
      </c>
      <c r="S65" s="55">
        <f t="shared" si="78"/>
        <v>2.2855032800000004</v>
      </c>
      <c r="T65" s="55">
        <f t="shared" si="78"/>
        <v>2.3055032799999999</v>
      </c>
      <c r="U65" s="55">
        <f t="shared" si="78"/>
        <v>2.2755032800000001</v>
      </c>
      <c r="V65" s="55">
        <f t="shared" si="78"/>
        <v>2.34550328</v>
      </c>
      <c r="W65" s="55">
        <f t="shared" si="78"/>
        <v>7.4256660000000005</v>
      </c>
      <c r="X65" s="55">
        <f t="shared" si="78"/>
        <v>2.5702299999999996</v>
      </c>
      <c r="Y65" s="55">
        <f t="shared" si="78"/>
        <v>3.1625920000000001</v>
      </c>
    </row>
    <row r="67" spans="10:25" x14ac:dyDescent="0.3">
      <c r="J67" s="73" t="s">
        <v>34</v>
      </c>
      <c r="K67" s="73"/>
      <c r="L67" s="30">
        <f>+L41-L65</f>
        <v>0.45202252000000032</v>
      </c>
      <c r="M67" s="30">
        <f>+M41-M65</f>
        <v>2.3713661200000011</v>
      </c>
      <c r="N67" s="30">
        <f>+N41-N65</f>
        <v>1.8813661200000009</v>
      </c>
      <c r="O67" s="46">
        <f>+O41-O65</f>
        <v>2.0175261600000001</v>
      </c>
      <c r="P67" s="46">
        <f t="shared" ref="P67:Y67" si="79">+P41-P65</f>
        <v>0.77269671999999989</v>
      </c>
      <c r="Q67" s="46">
        <f t="shared" si="79"/>
        <v>0.78269671999999968</v>
      </c>
      <c r="R67" s="46">
        <f t="shared" si="79"/>
        <v>0.69269671999999982</v>
      </c>
      <c r="S67" s="46">
        <f t="shared" si="79"/>
        <v>0.74269671999999964</v>
      </c>
      <c r="T67" s="46">
        <f t="shared" si="79"/>
        <v>0.72269672000000007</v>
      </c>
      <c r="U67" s="46">
        <f t="shared" si="79"/>
        <v>0.75269671999999987</v>
      </c>
      <c r="V67" s="46">
        <f t="shared" si="79"/>
        <v>0.68269672000000003</v>
      </c>
      <c r="W67" s="46">
        <f t="shared" si="79"/>
        <v>0.88433399999999995</v>
      </c>
      <c r="X67" s="46">
        <f t="shared" si="79"/>
        <v>0.53977000000000031</v>
      </c>
      <c r="Y67" s="46">
        <f t="shared" si="79"/>
        <v>0.70740800000000004</v>
      </c>
    </row>
    <row r="69" spans="10:25" x14ac:dyDescent="0.3">
      <c r="J69" s="74" t="s">
        <v>41</v>
      </c>
      <c r="K69" s="74"/>
      <c r="L69" s="68">
        <f>+L67/L41</f>
        <v>0.13330851716409117</v>
      </c>
      <c r="M69" s="68">
        <f>+M67/M41</f>
        <v>0.17701253452368521</v>
      </c>
      <c r="N69" s="68">
        <f>+N67/N41</f>
        <v>0.14043608975411678</v>
      </c>
      <c r="O69" s="69">
        <f>+O67/O41</f>
        <v>0.33584015713952797</v>
      </c>
      <c r="P69" s="69">
        <f t="shared" ref="P69:Y69" si="80">+P67/P41</f>
        <v>0.25516700350042926</v>
      </c>
      <c r="Q69" s="69">
        <f t="shared" si="80"/>
        <v>0.25846929529093182</v>
      </c>
      <c r="R69" s="69">
        <f t="shared" si="80"/>
        <v>0.22874866917640838</v>
      </c>
      <c r="S69" s="69">
        <f t="shared" si="80"/>
        <v>0.24526012812892137</v>
      </c>
      <c r="T69" s="69">
        <f t="shared" si="80"/>
        <v>0.23865554454791627</v>
      </c>
      <c r="U69" s="69">
        <f t="shared" si="80"/>
        <v>0.24856241991942404</v>
      </c>
      <c r="V69" s="69">
        <f t="shared" si="80"/>
        <v>0.22544637738590584</v>
      </c>
      <c r="W69" s="69">
        <f t="shared" si="80"/>
        <v>0.10641805054151623</v>
      </c>
      <c r="X69" s="69">
        <f t="shared" si="80"/>
        <v>0.17355948553054673</v>
      </c>
      <c r="Y69" s="69">
        <f t="shared" si="80"/>
        <v>0.18279276485788115</v>
      </c>
    </row>
  </sheetData>
  <mergeCells count="19">
    <mergeCell ref="J27:K27"/>
    <mergeCell ref="J29:K29"/>
    <mergeCell ref="J31:K31"/>
    <mergeCell ref="J33:K33"/>
    <mergeCell ref="A34:B34"/>
    <mergeCell ref="J25:K25"/>
    <mergeCell ref="K1:Y1"/>
    <mergeCell ref="F2:G2"/>
    <mergeCell ref="A6:B6"/>
    <mergeCell ref="J18:K18"/>
    <mergeCell ref="J22:K22"/>
    <mergeCell ref="J65:K65"/>
    <mergeCell ref="J67:K67"/>
    <mergeCell ref="J69:K69"/>
    <mergeCell ref="K37:Y37"/>
    <mergeCell ref="J54:K54"/>
    <mergeCell ref="J58:K58"/>
    <mergeCell ref="J61:K61"/>
    <mergeCell ref="J63:K6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0"/>
  <sheetViews>
    <sheetView showGridLines="0" topLeftCell="D1" zoomScale="110" zoomScaleNormal="110" workbookViewId="0">
      <selection activeCell="J11" sqref="J11"/>
    </sheetView>
  </sheetViews>
  <sheetFormatPr baseColWidth="10" defaultRowHeight="14.4" x14ac:dyDescent="0.3"/>
  <cols>
    <col min="2" max="2" width="17.6640625" customWidth="1"/>
    <col min="3" max="3" width="13.88671875" bestFit="1" customWidth="1"/>
    <col min="4" max="4" width="13.88671875" customWidth="1"/>
    <col min="5" max="5" width="19" customWidth="1"/>
    <col min="6" max="7" width="12.88671875" customWidth="1"/>
    <col min="11" max="11" width="22.109375" customWidth="1"/>
    <col min="14" max="14" width="12" customWidth="1"/>
    <col min="16" max="16" width="3.33203125" customWidth="1"/>
  </cols>
  <sheetData>
    <row r="1" spans="1:26" x14ac:dyDescent="0.3">
      <c r="E1" s="22"/>
      <c r="V1" s="44">
        <v>44926</v>
      </c>
      <c r="X1" s="44">
        <v>45016</v>
      </c>
    </row>
    <row r="2" spans="1:26" x14ac:dyDescent="0.3">
      <c r="F2" s="83" t="s">
        <v>27</v>
      </c>
      <c r="G2" s="83"/>
      <c r="J2" t="s">
        <v>32</v>
      </c>
      <c r="K2" s="21"/>
      <c r="L2" s="20" t="s">
        <v>35</v>
      </c>
      <c r="M2" s="20" t="s">
        <v>36</v>
      </c>
      <c r="N2" s="20" t="s">
        <v>36</v>
      </c>
      <c r="O2" s="20" t="s">
        <v>35</v>
      </c>
      <c r="P2" s="84"/>
      <c r="Q2" s="20" t="s">
        <v>35</v>
      </c>
      <c r="R2" s="20" t="s">
        <v>37</v>
      </c>
      <c r="V2" s="20" t="s">
        <v>38</v>
      </c>
      <c r="X2" s="20" t="s">
        <v>38</v>
      </c>
      <c r="Z2" s="20">
        <v>1</v>
      </c>
    </row>
    <row r="3" spans="1:26" x14ac:dyDescent="0.3">
      <c r="B3" s="1"/>
      <c r="C3" s="2">
        <v>44377</v>
      </c>
      <c r="D3" s="2">
        <v>44742</v>
      </c>
      <c r="E3" s="22">
        <v>551227</v>
      </c>
      <c r="F3" s="16">
        <v>1.6E-2</v>
      </c>
      <c r="G3" s="11" t="s">
        <v>24</v>
      </c>
      <c r="H3" s="2">
        <v>44834</v>
      </c>
      <c r="K3" s="21" t="s">
        <v>28</v>
      </c>
      <c r="L3" s="23">
        <v>11.75</v>
      </c>
      <c r="M3" s="23">
        <v>11.75</v>
      </c>
      <c r="N3" s="23">
        <v>11.4</v>
      </c>
      <c r="O3" s="23">
        <v>10.16</v>
      </c>
      <c r="P3" s="85"/>
      <c r="Q3" s="23">
        <v>11.2</v>
      </c>
      <c r="R3" s="23">
        <v>11.2</v>
      </c>
      <c r="V3" s="23">
        <f>+V5/0.925</f>
        <v>11.790475628118447</v>
      </c>
      <c r="X3" s="23">
        <v>11.76</v>
      </c>
      <c r="Z3" s="48">
        <v>12.29</v>
      </c>
    </row>
    <row r="4" spans="1:26" x14ac:dyDescent="0.3">
      <c r="A4" s="8" t="s">
        <v>0</v>
      </c>
      <c r="B4" s="3" t="s">
        <v>11</v>
      </c>
      <c r="C4" s="4">
        <v>145646</v>
      </c>
      <c r="D4" s="4">
        <v>143764</v>
      </c>
      <c r="E4" s="4"/>
      <c r="F4" s="4"/>
      <c r="G4" s="4"/>
      <c r="H4" s="19"/>
      <c r="K4" s="21" t="s">
        <v>29</v>
      </c>
      <c r="L4" s="25">
        <v>0.05</v>
      </c>
      <c r="M4" s="25">
        <v>0.05</v>
      </c>
      <c r="N4" s="27">
        <v>7.4999999999999997E-2</v>
      </c>
      <c r="O4" s="27">
        <v>7.4999999999999997E-2</v>
      </c>
      <c r="P4" s="85"/>
      <c r="Q4" s="27">
        <v>7.4999999999999997E-2</v>
      </c>
      <c r="R4" s="27">
        <v>7.4999999999999997E-2</v>
      </c>
      <c r="V4" s="27">
        <v>7.4999999999999997E-2</v>
      </c>
      <c r="X4" s="27">
        <v>7.4999999999999997E-2</v>
      </c>
      <c r="Z4" s="27">
        <v>7.4999999999999997E-2</v>
      </c>
    </row>
    <row r="5" spans="1:26" x14ac:dyDescent="0.3">
      <c r="A5" s="8" t="s">
        <v>0</v>
      </c>
      <c r="B5" s="3" t="s">
        <v>12</v>
      </c>
      <c r="C5" s="4">
        <v>3631163</v>
      </c>
      <c r="D5" s="4">
        <v>3588717</v>
      </c>
      <c r="E5" s="4"/>
      <c r="F5" s="4"/>
      <c r="G5" s="4"/>
      <c r="H5" s="19"/>
      <c r="K5" s="21" t="s">
        <v>30</v>
      </c>
      <c r="L5" s="26">
        <f>+L3*(1-L4)</f>
        <v>11.1625</v>
      </c>
      <c r="M5" s="26">
        <f>+M3*(1-M4)</f>
        <v>11.1625</v>
      </c>
      <c r="N5" s="26">
        <f>+N3*(1-N4)</f>
        <v>10.545000000000002</v>
      </c>
      <c r="O5" s="26">
        <f>+O3*(1-O4)</f>
        <v>9.3980000000000015</v>
      </c>
      <c r="P5" s="85"/>
      <c r="Q5" s="26">
        <f>+Q3*(1-Q4)</f>
        <v>10.36</v>
      </c>
      <c r="R5" s="26">
        <f>+R3*(1-R4)</f>
        <v>10.36</v>
      </c>
      <c r="V5" s="26">
        <f>+R5*(1+S28)</f>
        <v>10.906189956009564</v>
      </c>
      <c r="X5" s="26">
        <f>+X3*(1-X4)</f>
        <v>10.878</v>
      </c>
      <c r="Z5" s="26">
        <f>10.81*1.0514</f>
        <v>11.365634</v>
      </c>
    </row>
    <row r="6" spans="1:26" x14ac:dyDescent="0.3">
      <c r="A6" s="83" t="s">
        <v>13</v>
      </c>
      <c r="B6" s="83"/>
      <c r="C6" s="6">
        <f>+C5+C4</f>
        <v>3776809</v>
      </c>
      <c r="D6" s="6">
        <f>+D5+D4</f>
        <v>3732481</v>
      </c>
      <c r="E6" s="6"/>
      <c r="F6" s="6">
        <f>+D6</f>
        <v>3732481</v>
      </c>
      <c r="G6" s="13">
        <f>+F6-D6</f>
        <v>0</v>
      </c>
      <c r="H6" s="6">
        <v>859673</v>
      </c>
      <c r="L6" s="24"/>
      <c r="M6" s="24"/>
      <c r="N6" s="24"/>
      <c r="O6" s="24"/>
      <c r="P6" s="85"/>
      <c r="Q6" s="24"/>
      <c r="R6" s="24"/>
      <c r="V6" s="24"/>
      <c r="X6" s="24"/>
      <c r="Z6" s="24"/>
    </row>
    <row r="7" spans="1:26" x14ac:dyDescent="0.3">
      <c r="A7" s="8" t="s">
        <v>0</v>
      </c>
      <c r="B7" s="3" t="s">
        <v>14</v>
      </c>
      <c r="C7" s="5">
        <v>87968</v>
      </c>
      <c r="D7" s="5">
        <v>84905</v>
      </c>
      <c r="E7" s="5"/>
      <c r="F7" s="12">
        <f t="shared" ref="F7:F9" si="0">+D7*(1+$F$3)</f>
        <v>86263.48</v>
      </c>
      <c r="G7" s="12"/>
      <c r="H7" s="18"/>
      <c r="K7" s="21" t="s">
        <v>31</v>
      </c>
      <c r="L7" s="23">
        <v>4.55</v>
      </c>
      <c r="M7" s="23">
        <v>3.67</v>
      </c>
      <c r="N7" s="23">
        <v>3.67</v>
      </c>
      <c r="O7" s="23">
        <v>4.55</v>
      </c>
      <c r="P7" s="85"/>
      <c r="Q7" s="23">
        <v>4.55</v>
      </c>
      <c r="R7" s="23">
        <v>5</v>
      </c>
      <c r="V7" s="23">
        <v>5.5</v>
      </c>
      <c r="X7" s="23">
        <v>5.5</v>
      </c>
      <c r="Z7" s="23">
        <v>5</v>
      </c>
    </row>
    <row r="8" spans="1:26" x14ac:dyDescent="0.3">
      <c r="A8" s="8" t="s">
        <v>0</v>
      </c>
      <c r="B8" s="3" t="s">
        <v>15</v>
      </c>
      <c r="C8" s="5">
        <v>1667173</v>
      </c>
      <c r="D8" s="5">
        <v>1552532</v>
      </c>
      <c r="E8" s="5"/>
      <c r="F8" s="12">
        <f t="shared" si="0"/>
        <v>1577372.5120000001</v>
      </c>
      <c r="G8" s="12"/>
      <c r="H8" s="18"/>
      <c r="L8" s="24"/>
      <c r="M8" s="24"/>
      <c r="N8" s="24"/>
      <c r="O8" s="24"/>
      <c r="P8" s="85"/>
      <c r="Q8" s="24"/>
      <c r="R8" s="24"/>
      <c r="V8" s="24"/>
      <c r="X8" s="24"/>
      <c r="Z8" s="24"/>
    </row>
    <row r="9" spans="1:26" x14ac:dyDescent="0.3">
      <c r="A9" s="8" t="s">
        <v>0</v>
      </c>
      <c r="B9" s="3" t="s">
        <v>1</v>
      </c>
      <c r="C9" s="5">
        <f>100923+4420</f>
        <v>105343</v>
      </c>
      <c r="D9" s="5">
        <f>-87614-5060</f>
        <v>-92674</v>
      </c>
      <c r="E9" s="5"/>
      <c r="F9" s="12">
        <f t="shared" si="0"/>
        <v>-94156.784</v>
      </c>
      <c r="G9" s="12"/>
      <c r="H9" s="18"/>
      <c r="K9" s="21" t="s">
        <v>23</v>
      </c>
      <c r="L9" s="23">
        <f>+L5-L7</f>
        <v>6.6124999999999998</v>
      </c>
      <c r="M9" s="23">
        <f>+M5-M7</f>
        <v>7.4924999999999997</v>
      </c>
      <c r="N9" s="23">
        <f>+N5-N7</f>
        <v>6.8750000000000018</v>
      </c>
      <c r="O9" s="23">
        <f>+O5-O7</f>
        <v>4.8480000000000016</v>
      </c>
      <c r="P9" s="85"/>
      <c r="Q9" s="23">
        <f>+Q5-Q7</f>
        <v>5.81</v>
      </c>
      <c r="R9" s="23">
        <f>+R5-R7</f>
        <v>5.3599999999999994</v>
      </c>
      <c r="V9" s="23">
        <f>+V5-V7</f>
        <v>5.4061899560095643</v>
      </c>
      <c r="X9" s="23">
        <f>+X5-X7</f>
        <v>5.3780000000000001</v>
      </c>
      <c r="Z9" s="23">
        <f>+Z5-Z7</f>
        <v>6.365634</v>
      </c>
    </row>
    <row r="10" spans="1:26" x14ac:dyDescent="0.3">
      <c r="A10" s="83" t="s">
        <v>16</v>
      </c>
      <c r="B10" s="83"/>
      <c r="C10" s="7">
        <f>+SUM(C7:C9)</f>
        <v>1860484</v>
      </c>
      <c r="D10" s="7">
        <f>+SUM(D7:D9)</f>
        <v>1544763</v>
      </c>
      <c r="E10" s="7"/>
      <c r="F10" s="7">
        <f>+D10*(1+$F$3)</f>
        <v>1569479.2080000001</v>
      </c>
      <c r="G10" s="13">
        <f>+F10-D10</f>
        <v>24716.208000000101</v>
      </c>
      <c r="H10" s="7">
        <v>387618</v>
      </c>
      <c r="P10" s="85"/>
    </row>
    <row r="11" spans="1:26" x14ac:dyDescent="0.3">
      <c r="A11" s="8" t="s">
        <v>17</v>
      </c>
      <c r="B11" s="3" t="s">
        <v>8</v>
      </c>
      <c r="C11" s="5">
        <v>71117</v>
      </c>
      <c r="D11" s="5">
        <v>61603</v>
      </c>
      <c r="E11" s="32">
        <f>+D11/$E$3</f>
        <v>0.1117561367639829</v>
      </c>
      <c r="F11" s="12">
        <f t="shared" ref="F11:F23" si="1">+D11*(1+$F$3)</f>
        <v>62588.648000000001</v>
      </c>
      <c r="G11" s="12">
        <f>+F11-D11</f>
        <v>985.64800000000105</v>
      </c>
      <c r="H11" s="5">
        <v>7522.99</v>
      </c>
      <c r="I11" s="17"/>
      <c r="J11" s="10">
        <v>1.6199999999999999E-2</v>
      </c>
      <c r="K11" s="10" t="str">
        <f>+B11</f>
        <v>EDF</v>
      </c>
      <c r="L11" s="23">
        <v>0.18</v>
      </c>
      <c r="M11" s="23">
        <f>+J11*$L$5</f>
        <v>0.18083249999999998</v>
      </c>
      <c r="N11" s="23">
        <f>+J11*$N$5</f>
        <v>0.17082900000000001</v>
      </c>
      <c r="O11" s="35">
        <f>+J11*$O$5</f>
        <v>0.15224760000000001</v>
      </c>
      <c r="P11" s="85"/>
      <c r="Q11" s="35">
        <f>+J11*$Q$5</f>
        <v>0.16783199999999998</v>
      </c>
      <c r="R11" s="35">
        <f>+$R$5*J11</f>
        <v>0.16783199999999998</v>
      </c>
      <c r="V11" s="35">
        <f t="shared" ref="V11:V16" si="2">+R11</f>
        <v>0.16783199999999998</v>
      </c>
      <c r="X11" s="35">
        <f>+$X$5*J11</f>
        <v>0.17622359999999998</v>
      </c>
      <c r="Z11" s="35">
        <v>0.7</v>
      </c>
    </row>
    <row r="12" spans="1:26" x14ac:dyDescent="0.3">
      <c r="A12" s="8" t="s">
        <v>17</v>
      </c>
      <c r="B12" s="3" t="s">
        <v>18</v>
      </c>
      <c r="C12" s="5">
        <v>8396</v>
      </c>
      <c r="D12" s="5">
        <v>7559</v>
      </c>
      <c r="E12" s="32">
        <f t="shared" ref="E12:E24" si="3">+D12/$E$3</f>
        <v>1.3713043809537631E-2</v>
      </c>
      <c r="F12" s="12">
        <f t="shared" si="1"/>
        <v>7679.9440000000004</v>
      </c>
      <c r="G12" s="12">
        <f t="shared" ref="G12:G16" si="4">+F12-D12</f>
        <v>120.94400000000041</v>
      </c>
      <c r="H12" s="5">
        <v>1897</v>
      </c>
      <c r="J12" s="10">
        <v>2E-3</v>
      </c>
      <c r="K12" s="10" t="str">
        <f t="shared" ref="K12:K23" si="5">+B12</f>
        <v>EAU</v>
      </c>
      <c r="L12" s="23">
        <f t="shared" ref="L12:L23" si="6">+J12*$L$5</f>
        <v>2.2325000000000001E-2</v>
      </c>
      <c r="M12" s="23">
        <f t="shared" ref="M12:M23" si="7">+J12*$L$5</f>
        <v>2.2325000000000001E-2</v>
      </c>
      <c r="N12" s="23">
        <f t="shared" ref="N12:N23" si="8">+J12*$N$5</f>
        <v>2.1090000000000005E-2</v>
      </c>
      <c r="O12" s="35">
        <f t="shared" ref="O12:O23" si="9">+J12*$O$5</f>
        <v>1.8796000000000004E-2</v>
      </c>
      <c r="P12" s="85"/>
      <c r="Q12" s="35">
        <f>+J12*$Q$5</f>
        <v>2.0719999999999999E-2</v>
      </c>
      <c r="R12" s="35">
        <f t="shared" ref="R12:R23" si="10">+$R$5*J12</f>
        <v>2.0719999999999999E-2</v>
      </c>
      <c r="V12" s="35">
        <f t="shared" si="2"/>
        <v>2.0719999999999999E-2</v>
      </c>
      <c r="X12" s="35">
        <f t="shared" ref="X12:X23" si="11">+$X$5*J12</f>
        <v>2.1756000000000001E-2</v>
      </c>
      <c r="Z12" s="35">
        <v>0.02</v>
      </c>
    </row>
    <row r="13" spans="1:26" x14ac:dyDescent="0.3">
      <c r="A13" s="8" t="s">
        <v>17</v>
      </c>
      <c r="B13" s="3" t="s">
        <v>9</v>
      </c>
      <c r="C13" s="5">
        <v>34609</v>
      </c>
      <c r="D13" s="5">
        <v>35985</v>
      </c>
      <c r="E13" s="32">
        <f t="shared" si="3"/>
        <v>6.528163533353773E-2</v>
      </c>
      <c r="F13" s="12">
        <f t="shared" si="1"/>
        <v>36560.76</v>
      </c>
      <c r="G13" s="12">
        <f t="shared" si="4"/>
        <v>575.76000000000204</v>
      </c>
      <c r="H13" s="5">
        <v>6240</v>
      </c>
      <c r="J13" s="10">
        <v>9.4999999999999998E-3</v>
      </c>
      <c r="K13" s="10" t="str">
        <f t="shared" si="5"/>
        <v>GAZ</v>
      </c>
      <c r="L13" s="23">
        <f t="shared" si="6"/>
        <v>0.10604374999999999</v>
      </c>
      <c r="M13" s="23">
        <f t="shared" si="7"/>
        <v>0.10604374999999999</v>
      </c>
      <c r="N13" s="23">
        <f t="shared" si="8"/>
        <v>0.10017750000000002</v>
      </c>
      <c r="O13" s="35">
        <f t="shared" si="9"/>
        <v>8.9281000000000013E-2</v>
      </c>
      <c r="P13" s="85"/>
      <c r="Q13" s="35">
        <f t="shared" ref="Q13:Q20" si="12">+J13*$Q$5</f>
        <v>9.8419999999999994E-2</v>
      </c>
      <c r="R13" s="35">
        <f t="shared" si="10"/>
        <v>9.8419999999999994E-2</v>
      </c>
      <c r="V13" s="35">
        <f t="shared" si="2"/>
        <v>9.8419999999999994E-2</v>
      </c>
      <c r="X13" s="35">
        <f t="shared" si="11"/>
        <v>0.103341</v>
      </c>
      <c r="Z13" s="35">
        <v>0.1</v>
      </c>
    </row>
    <row r="14" spans="1:26" x14ac:dyDescent="0.3">
      <c r="A14" s="8" t="s">
        <v>17</v>
      </c>
      <c r="B14" s="3" t="s">
        <v>2</v>
      </c>
      <c r="C14" s="5">
        <v>6259</v>
      </c>
      <c r="D14" s="5">
        <v>21368</v>
      </c>
      <c r="E14" s="32">
        <f t="shared" si="3"/>
        <v>3.8764429173462116E-2</v>
      </c>
      <c r="F14" s="12">
        <f t="shared" si="1"/>
        <v>21709.887999999999</v>
      </c>
      <c r="G14" s="12">
        <f t="shared" si="4"/>
        <v>341.88799999999901</v>
      </c>
      <c r="H14" s="5">
        <v>0</v>
      </c>
      <c r="J14" s="28">
        <v>0</v>
      </c>
      <c r="K14" s="10" t="str">
        <f t="shared" si="5"/>
        <v>INTERIM</v>
      </c>
      <c r="L14" s="23">
        <f t="shared" si="6"/>
        <v>0</v>
      </c>
      <c r="M14" s="23">
        <f t="shared" si="7"/>
        <v>0</v>
      </c>
      <c r="N14" s="23">
        <f>+J14*$N$5</f>
        <v>0</v>
      </c>
      <c r="O14" s="35">
        <f t="shared" si="9"/>
        <v>0</v>
      </c>
      <c r="P14" s="85"/>
      <c r="Q14" s="35">
        <f t="shared" si="12"/>
        <v>0</v>
      </c>
      <c r="R14" s="35">
        <f t="shared" si="10"/>
        <v>0</v>
      </c>
      <c r="V14" s="35">
        <f t="shared" si="2"/>
        <v>0</v>
      </c>
      <c r="X14" s="35">
        <f t="shared" si="11"/>
        <v>0</v>
      </c>
      <c r="Z14" s="35">
        <f t="shared" ref="Z14" si="13">+Q14*$Q$5</f>
        <v>0</v>
      </c>
    </row>
    <row r="15" spans="1:26" x14ac:dyDescent="0.3">
      <c r="A15" s="8" t="s">
        <v>17</v>
      </c>
      <c r="B15" s="3" t="s">
        <v>4</v>
      </c>
      <c r="C15" s="5">
        <v>31713</v>
      </c>
      <c r="D15" s="5">
        <v>33911</v>
      </c>
      <c r="E15" s="32">
        <f t="shared" si="3"/>
        <v>6.1519120072129993E-2</v>
      </c>
      <c r="F15" s="12">
        <f t="shared" si="1"/>
        <v>34453.576000000001</v>
      </c>
      <c r="G15" s="12">
        <f t="shared" si="4"/>
        <v>542.57600000000093</v>
      </c>
      <c r="H15" s="5">
        <v>5661</v>
      </c>
      <c r="J15" s="28">
        <v>8.3000000000000001E-3</v>
      </c>
      <c r="K15" s="10" t="str">
        <f t="shared" si="5"/>
        <v>COMMISSION</v>
      </c>
      <c r="L15" s="23">
        <f t="shared" si="6"/>
        <v>9.2648750000000002E-2</v>
      </c>
      <c r="M15" s="23">
        <f t="shared" si="7"/>
        <v>9.2648750000000002E-2</v>
      </c>
      <c r="N15" s="23">
        <f t="shared" si="8"/>
        <v>8.7523500000000018E-2</v>
      </c>
      <c r="O15" s="35">
        <f t="shared" si="9"/>
        <v>7.8003400000000014E-2</v>
      </c>
      <c r="P15" s="85"/>
      <c r="Q15" s="35">
        <f t="shared" si="12"/>
        <v>8.5987999999999995E-2</v>
      </c>
      <c r="R15" s="35">
        <f t="shared" si="10"/>
        <v>8.5987999999999995E-2</v>
      </c>
      <c r="V15" s="35">
        <f t="shared" si="2"/>
        <v>8.5987999999999995E-2</v>
      </c>
      <c r="X15" s="35">
        <f t="shared" si="11"/>
        <v>9.0287400000000004E-2</v>
      </c>
      <c r="Z15" s="35">
        <v>0.09</v>
      </c>
    </row>
    <row r="16" spans="1:26" x14ac:dyDescent="0.3">
      <c r="A16" s="8" t="s">
        <v>17</v>
      </c>
      <c r="B16" s="3" t="s">
        <v>3</v>
      </c>
      <c r="C16" s="5">
        <v>155752</v>
      </c>
      <c r="D16" s="5">
        <v>155016</v>
      </c>
      <c r="E16" s="32">
        <f t="shared" si="3"/>
        <v>0.2812198967031731</v>
      </c>
      <c r="F16" s="12">
        <f t="shared" si="1"/>
        <v>157496.25599999999</v>
      </c>
      <c r="G16" s="12">
        <f t="shared" si="4"/>
        <v>2480.2559999999939</v>
      </c>
      <c r="H16" s="5">
        <v>37386</v>
      </c>
      <c r="J16" s="28">
        <v>4.07E-2</v>
      </c>
      <c r="K16" s="10" t="str">
        <f t="shared" si="5"/>
        <v>TRANSPORT</v>
      </c>
      <c r="L16" s="23">
        <f t="shared" si="6"/>
        <v>0.45431374999999996</v>
      </c>
      <c r="M16" s="23">
        <f t="shared" si="7"/>
        <v>0.45431374999999996</v>
      </c>
      <c r="N16" s="23">
        <f t="shared" si="8"/>
        <v>0.42918150000000005</v>
      </c>
      <c r="O16" s="35">
        <f t="shared" si="9"/>
        <v>0.38249860000000008</v>
      </c>
      <c r="P16" s="85"/>
      <c r="Q16" s="35">
        <f t="shared" si="12"/>
        <v>0.42165199999999997</v>
      </c>
      <c r="R16" s="35">
        <f t="shared" si="10"/>
        <v>0.42165199999999997</v>
      </c>
      <c r="V16" s="35">
        <f t="shared" si="2"/>
        <v>0.42165199999999997</v>
      </c>
      <c r="X16" s="35">
        <f t="shared" si="11"/>
        <v>0.44273459999999998</v>
      </c>
      <c r="Z16" s="35">
        <v>0.42</v>
      </c>
    </row>
    <row r="17" spans="1:26" x14ac:dyDescent="0.3">
      <c r="A17" s="83" t="s">
        <v>19</v>
      </c>
      <c r="B17" s="83"/>
      <c r="C17" s="7">
        <f>+SUM(C11:C16)</f>
        <v>307846</v>
      </c>
      <c r="D17" s="7">
        <f>+SUM(D11:D16)</f>
        <v>315442</v>
      </c>
      <c r="E17" s="33">
        <f t="shared" si="3"/>
        <v>0.57225426185582351</v>
      </c>
      <c r="F17" s="7">
        <f>+D17*(1+$F$3)</f>
        <v>320489.07199999999</v>
      </c>
      <c r="G17" s="13">
        <f>+F17-D17</f>
        <v>5047.0719999999856</v>
      </c>
      <c r="H17" s="7">
        <f>+SUM(H11:H16)</f>
        <v>58706.99</v>
      </c>
      <c r="J17" s="73" t="str">
        <f>+A17</f>
        <v>TOTAL CHG EXT</v>
      </c>
      <c r="K17" s="73"/>
      <c r="L17" s="31">
        <f>+SUM(L11:L16)</f>
        <v>0.85533124999999988</v>
      </c>
      <c r="M17" s="31">
        <f>+SUM(M11:M16)</f>
        <v>0.85616374999999989</v>
      </c>
      <c r="N17" s="31">
        <f>+SUM(N11:N16)</f>
        <v>0.80880150000000017</v>
      </c>
      <c r="O17" s="31">
        <f>+SUM(O11:O16)</f>
        <v>0.7208266000000001</v>
      </c>
      <c r="P17" s="85"/>
      <c r="Q17" s="31">
        <f>+SUM(Q11:Q16)</f>
        <v>0.79461199999999987</v>
      </c>
      <c r="R17" s="31">
        <f>+SUM(R11:R16)</f>
        <v>0.79461199999999987</v>
      </c>
      <c r="V17" s="31">
        <f>+SUM(V11:V16)</f>
        <v>0.79461199999999987</v>
      </c>
      <c r="X17" s="31">
        <f>+SUM(X11:X16)</f>
        <v>0.83434260000000005</v>
      </c>
      <c r="Z17" s="31">
        <f>+SUM(Z11:Z16)</f>
        <v>1.3299999999999998</v>
      </c>
    </row>
    <row r="18" spans="1:26" x14ac:dyDescent="0.3">
      <c r="A18" s="8" t="s">
        <v>17</v>
      </c>
      <c r="B18" s="3" t="s">
        <v>5</v>
      </c>
      <c r="C18" s="5">
        <v>754068</v>
      </c>
      <c r="D18" s="5">
        <v>838436</v>
      </c>
      <c r="E18" s="32">
        <f t="shared" si="3"/>
        <v>1.5210357983190228</v>
      </c>
      <c r="F18" s="12">
        <f t="shared" si="1"/>
        <v>851850.97600000002</v>
      </c>
      <c r="G18" s="12">
        <f>+F18-D18</f>
        <v>13414.976000000024</v>
      </c>
      <c r="H18" s="5">
        <v>205388</v>
      </c>
      <c r="J18" s="28">
        <v>0.22030000000000002</v>
      </c>
      <c r="K18" s="10" t="str">
        <f t="shared" si="5"/>
        <v>MASSE SALARIALE</v>
      </c>
      <c r="L18" s="23">
        <f t="shared" si="6"/>
        <v>2.4590987500000003</v>
      </c>
      <c r="M18" s="23">
        <f t="shared" si="7"/>
        <v>2.4590987500000003</v>
      </c>
      <c r="N18" s="23">
        <f t="shared" si="8"/>
        <v>2.3230635000000008</v>
      </c>
      <c r="O18" s="35">
        <f t="shared" si="9"/>
        <v>2.0703794000000006</v>
      </c>
      <c r="P18" s="85"/>
      <c r="Q18" s="35">
        <f>+J18*$Q$5</f>
        <v>2.282308</v>
      </c>
      <c r="R18" s="35">
        <f t="shared" si="10"/>
        <v>2.282308</v>
      </c>
      <c r="V18" s="35">
        <f>+R18</f>
        <v>2.282308</v>
      </c>
      <c r="X18" s="35">
        <f t="shared" si="11"/>
        <v>2.3964234000000002</v>
      </c>
      <c r="Z18" s="35">
        <v>2.2799999999999998</v>
      </c>
    </row>
    <row r="19" spans="1:26" x14ac:dyDescent="0.3">
      <c r="A19" s="8" t="s">
        <v>17</v>
      </c>
      <c r="B19" s="3" t="s">
        <v>6</v>
      </c>
      <c r="C19" s="5">
        <v>233204</v>
      </c>
      <c r="D19" s="5">
        <v>277802</v>
      </c>
      <c r="E19" s="32">
        <f t="shared" si="3"/>
        <v>0.5039702336786841</v>
      </c>
      <c r="F19" s="12">
        <f t="shared" si="1"/>
        <v>282246.83199999999</v>
      </c>
      <c r="G19" s="12">
        <f t="shared" ref="G19:G24" si="14">+F19-D19</f>
        <v>4444.8319999999949</v>
      </c>
      <c r="H19" s="5">
        <v>60814</v>
      </c>
      <c r="J19" s="28">
        <v>7.2999999999999995E-2</v>
      </c>
      <c r="K19" s="10" t="str">
        <f t="shared" si="5"/>
        <v>CHG SOC</v>
      </c>
      <c r="L19" s="23">
        <f t="shared" si="6"/>
        <v>0.81486249999999993</v>
      </c>
      <c r="M19" s="23">
        <f t="shared" si="7"/>
        <v>0.81486249999999993</v>
      </c>
      <c r="N19" s="23">
        <f t="shared" si="8"/>
        <v>0.76978500000000005</v>
      </c>
      <c r="O19" s="35">
        <f t="shared" si="9"/>
        <v>0.68605400000000005</v>
      </c>
      <c r="P19" s="85"/>
      <c r="Q19" s="35">
        <f t="shared" si="12"/>
        <v>0.75627999999999995</v>
      </c>
      <c r="R19" s="35">
        <f t="shared" si="10"/>
        <v>0.75627999999999995</v>
      </c>
      <c r="V19" s="35">
        <f>+R19</f>
        <v>0.75627999999999995</v>
      </c>
      <c r="X19" s="35">
        <f t="shared" si="11"/>
        <v>0.79409399999999997</v>
      </c>
      <c r="Z19" s="35">
        <v>0.76</v>
      </c>
    </row>
    <row r="20" spans="1:26" x14ac:dyDescent="0.3">
      <c r="A20" s="8" t="s">
        <v>17</v>
      </c>
      <c r="B20" s="3" t="s">
        <v>7</v>
      </c>
      <c r="C20" s="5">
        <f>7368+5010-5100+1422</f>
        <v>8700</v>
      </c>
      <c r="D20" s="5">
        <f>10581+4242+1330</f>
        <v>16153</v>
      </c>
      <c r="E20" s="32">
        <f t="shared" si="3"/>
        <v>2.9303716980481724E-2</v>
      </c>
      <c r="F20" s="12">
        <f t="shared" si="1"/>
        <v>16411.448</v>
      </c>
      <c r="G20" s="12">
        <f t="shared" si="14"/>
        <v>258.44800000000032</v>
      </c>
      <c r="H20" s="5">
        <f>1745+1187+1015+378</f>
        <v>4325</v>
      </c>
      <c r="J20" s="10">
        <v>4.1999999999999997E-3</v>
      </c>
      <c r="K20" s="10" t="str">
        <f t="shared" si="5"/>
        <v>CHG FISC</v>
      </c>
      <c r="L20" s="23">
        <f t="shared" si="6"/>
        <v>4.6882499999999994E-2</v>
      </c>
      <c r="M20" s="23">
        <f t="shared" si="7"/>
        <v>4.6882499999999994E-2</v>
      </c>
      <c r="N20" s="23">
        <f t="shared" si="8"/>
        <v>4.4289000000000002E-2</v>
      </c>
      <c r="O20" s="35">
        <f t="shared" si="9"/>
        <v>3.9471600000000003E-2</v>
      </c>
      <c r="P20" s="85"/>
      <c r="Q20" s="35">
        <f t="shared" si="12"/>
        <v>4.3511999999999995E-2</v>
      </c>
      <c r="R20" s="35">
        <f t="shared" si="10"/>
        <v>4.3511999999999995E-2</v>
      </c>
      <c r="V20" s="35">
        <f>+R20</f>
        <v>4.3511999999999995E-2</v>
      </c>
      <c r="X20" s="35">
        <f t="shared" si="11"/>
        <v>4.5687599999999995E-2</v>
      </c>
      <c r="Z20" s="35">
        <v>0.04</v>
      </c>
    </row>
    <row r="21" spans="1:26" x14ac:dyDescent="0.3">
      <c r="A21" s="83" t="s">
        <v>20</v>
      </c>
      <c r="B21" s="83"/>
      <c r="C21" s="7">
        <f>+SUM(C15:C20)</f>
        <v>1491283</v>
      </c>
      <c r="D21" s="7">
        <f>+SUM(D15:D20)</f>
        <v>1636760</v>
      </c>
      <c r="E21" s="33">
        <f t="shared" si="3"/>
        <v>2.9693030276093153</v>
      </c>
      <c r="F21" s="7">
        <f>+D21*(1+$F$3)</f>
        <v>1662948.16</v>
      </c>
      <c r="G21" s="13">
        <f t="shared" si="14"/>
        <v>26188.159999999916</v>
      </c>
      <c r="H21" s="7">
        <f>+SUM(H18:H20)</f>
        <v>270527</v>
      </c>
      <c r="J21" s="73" t="str">
        <f>+A21</f>
        <v>TOTAL CHG PERS</v>
      </c>
      <c r="K21" s="73"/>
      <c r="L21" s="31">
        <f>+SUM(L18:L20)</f>
        <v>3.3208437500000003</v>
      </c>
      <c r="M21" s="31">
        <f>+SUM(M18:M20)</f>
        <v>3.3208437500000003</v>
      </c>
      <c r="N21" s="31">
        <f>+SUM(N18:N20)</f>
        <v>3.137137500000001</v>
      </c>
      <c r="O21" s="31">
        <f>+SUM(O18:O20)</f>
        <v>2.7959050000000008</v>
      </c>
      <c r="P21" s="85"/>
      <c r="Q21" s="31">
        <f>+SUM(Q18:Q20)</f>
        <v>3.0820999999999996</v>
      </c>
      <c r="R21" s="31">
        <f>+SUM(R18:R20)</f>
        <v>3.0820999999999996</v>
      </c>
      <c r="V21" s="31">
        <f>+SUM(V18:V20)</f>
        <v>3.0820999999999996</v>
      </c>
      <c r="X21" s="31">
        <f>+SUM(X18:X20)</f>
        <v>3.236205</v>
      </c>
      <c r="Z21" s="31">
        <f>+SUM(Z18:Z20)</f>
        <v>3.08</v>
      </c>
    </row>
    <row r="22" spans="1:26" x14ac:dyDescent="0.3">
      <c r="A22" s="8" t="s">
        <v>17</v>
      </c>
      <c r="B22" s="3" t="s">
        <v>10</v>
      </c>
      <c r="C22" s="5">
        <v>62733</v>
      </c>
      <c r="D22" s="5">
        <v>33979</v>
      </c>
      <c r="E22" s="32">
        <f t="shared" si="3"/>
        <v>6.1642481228241723E-2</v>
      </c>
      <c r="F22" s="12">
        <f t="shared" si="1"/>
        <v>34522.663999999997</v>
      </c>
      <c r="G22" s="12">
        <f t="shared" si="14"/>
        <v>543.66399999999703</v>
      </c>
      <c r="H22" s="5">
        <v>8208</v>
      </c>
      <c r="J22" s="10">
        <v>8.8999999999999999E-3</v>
      </c>
      <c r="K22" s="10" t="str">
        <f t="shared" si="5"/>
        <v>AMORTISSEMENT</v>
      </c>
      <c r="L22" s="23">
        <f t="shared" si="6"/>
        <v>9.9346249999999997E-2</v>
      </c>
      <c r="M22" s="23">
        <f t="shared" si="7"/>
        <v>9.9346249999999997E-2</v>
      </c>
      <c r="N22" s="23">
        <f t="shared" si="8"/>
        <v>9.3850500000000017E-2</v>
      </c>
      <c r="O22" s="35">
        <f t="shared" si="9"/>
        <v>8.3642200000000014E-2</v>
      </c>
      <c r="P22" s="85"/>
      <c r="Q22" s="35">
        <f>+J22*$Q$5</f>
        <v>9.2203999999999994E-2</v>
      </c>
      <c r="R22" s="35">
        <f t="shared" si="10"/>
        <v>9.2203999999999994E-2</v>
      </c>
      <c r="V22" s="35">
        <f>+R22</f>
        <v>9.2203999999999994E-2</v>
      </c>
      <c r="X22" s="35">
        <f t="shared" si="11"/>
        <v>9.6814200000000003E-2</v>
      </c>
      <c r="Z22" s="35">
        <v>0.09</v>
      </c>
    </row>
    <row r="23" spans="1:26" x14ac:dyDescent="0.3">
      <c r="A23" s="8" t="s">
        <v>17</v>
      </c>
      <c r="B23" s="3" t="s">
        <v>21</v>
      </c>
      <c r="C23" s="5">
        <v>3538</v>
      </c>
      <c r="D23" s="5">
        <v>6174</v>
      </c>
      <c r="E23" s="32">
        <f t="shared" si="3"/>
        <v>1.1200467321085506E-2</v>
      </c>
      <c r="F23" s="12">
        <f t="shared" si="1"/>
        <v>6272.7839999999997</v>
      </c>
      <c r="G23" s="12">
        <f t="shared" si="14"/>
        <v>98.783999999999651</v>
      </c>
      <c r="H23" s="5">
        <v>2343</v>
      </c>
      <c r="J23" s="10">
        <v>1.6000000000000001E-3</v>
      </c>
      <c r="K23" s="10" t="str">
        <f t="shared" si="5"/>
        <v>PETIT EQUIPMT</v>
      </c>
      <c r="L23" s="23">
        <f t="shared" si="6"/>
        <v>1.7860000000000001E-2</v>
      </c>
      <c r="M23" s="23">
        <f t="shared" si="7"/>
        <v>1.7860000000000001E-2</v>
      </c>
      <c r="N23" s="23">
        <f t="shared" si="8"/>
        <v>1.6872000000000005E-2</v>
      </c>
      <c r="O23" s="35">
        <f t="shared" si="9"/>
        <v>1.5036800000000003E-2</v>
      </c>
      <c r="P23" s="85"/>
      <c r="Q23" s="35">
        <f>+J23*$Q$5</f>
        <v>1.6576E-2</v>
      </c>
      <c r="R23" s="35">
        <f t="shared" si="10"/>
        <v>1.6576E-2</v>
      </c>
      <c r="V23" s="35">
        <f>+R23</f>
        <v>1.6576E-2</v>
      </c>
      <c r="X23" s="35">
        <f t="shared" si="11"/>
        <v>1.7404800000000002E-2</v>
      </c>
      <c r="Z23" s="35">
        <v>0.02</v>
      </c>
    </row>
    <row r="24" spans="1:26" x14ac:dyDescent="0.3">
      <c r="A24" s="83" t="s">
        <v>33</v>
      </c>
      <c r="B24" s="83"/>
      <c r="C24" s="7">
        <f>+SUM(C22:C23)</f>
        <v>66271</v>
      </c>
      <c r="D24" s="7">
        <f>+SUM(D22:D23)</f>
        <v>40153</v>
      </c>
      <c r="E24" s="33">
        <f t="shared" si="3"/>
        <v>7.2842948549327227E-2</v>
      </c>
      <c r="F24" s="7">
        <f>+D24*(1+$F$3)</f>
        <v>40795.448000000004</v>
      </c>
      <c r="G24" s="13">
        <f t="shared" si="14"/>
        <v>642.44800000000396</v>
      </c>
      <c r="H24" s="7">
        <f>+SUM(H22:H23)</f>
        <v>10551</v>
      </c>
      <c r="J24" s="73" t="str">
        <f>+A24</f>
        <v>TOTAL CHG INVESTISSEMENTS</v>
      </c>
      <c r="K24" s="73"/>
      <c r="L24" s="30">
        <f>+L22+L23</f>
        <v>0.11720625</v>
      </c>
      <c r="M24" s="30">
        <f>+M22+M23</f>
        <v>0.11720625</v>
      </c>
      <c r="N24" s="30">
        <f>+N22+N23</f>
        <v>0.11072250000000003</v>
      </c>
      <c r="O24" s="30">
        <f>+O22+O23</f>
        <v>9.8679000000000017E-2</v>
      </c>
      <c r="P24" s="85"/>
      <c r="Q24" s="30">
        <f>+Q22+Q23</f>
        <v>0.10877999999999999</v>
      </c>
      <c r="R24" s="30">
        <f>+R22+R23</f>
        <v>0.10877999999999999</v>
      </c>
      <c r="V24" s="30">
        <f>+V22+V23</f>
        <v>0.10877999999999999</v>
      </c>
      <c r="X24" s="30">
        <f>+X22+X23</f>
        <v>0.114219</v>
      </c>
      <c r="Z24" s="30">
        <f>+Z22+Z23</f>
        <v>0.11</v>
      </c>
    </row>
    <row r="25" spans="1:26" x14ac:dyDescent="0.3">
      <c r="P25" s="85"/>
    </row>
    <row r="26" spans="1:26" x14ac:dyDescent="0.3">
      <c r="A26" s="83" t="s">
        <v>22</v>
      </c>
      <c r="B26" s="83"/>
      <c r="C26" s="9">
        <f t="shared" ref="C26:H26" si="15">+C10+C17+C21+C24</f>
        <v>3725884</v>
      </c>
      <c r="D26" s="9">
        <f t="shared" si="15"/>
        <v>3537118</v>
      </c>
      <c r="E26" s="34">
        <f t="shared" si="15"/>
        <v>3.6144002380144662</v>
      </c>
      <c r="F26" s="9">
        <f t="shared" si="15"/>
        <v>3593711.8879999998</v>
      </c>
      <c r="G26" s="9">
        <f t="shared" si="15"/>
        <v>56593.888000000006</v>
      </c>
      <c r="H26" s="9">
        <f t="shared" si="15"/>
        <v>727402.99</v>
      </c>
      <c r="I26" s="17"/>
      <c r="J26" s="89" t="s">
        <v>40</v>
      </c>
      <c r="K26" s="90"/>
      <c r="L26" s="30">
        <f>+L17+L21+L24</f>
        <v>4.2933812500000004</v>
      </c>
      <c r="M26" s="30">
        <f t="shared" ref="M26:Q26" si="16">+M17+M21+M24</f>
        <v>4.2942137499999999</v>
      </c>
      <c r="N26" s="30">
        <f t="shared" si="16"/>
        <v>4.0566615000000006</v>
      </c>
      <c r="O26" s="30">
        <f t="shared" si="16"/>
        <v>3.615410600000001</v>
      </c>
      <c r="P26" s="85"/>
      <c r="Q26" s="30">
        <f t="shared" si="16"/>
        <v>3.9854919999999994</v>
      </c>
      <c r="R26" s="30">
        <f t="shared" ref="R26" si="17">+R17+R21+R24</f>
        <v>3.9854919999999994</v>
      </c>
      <c r="V26" s="30">
        <f>+V17+V21+V24</f>
        <v>3.9854919999999994</v>
      </c>
      <c r="X26" s="30">
        <f t="shared" ref="X26" si="18">+X17+X21+X24</f>
        <v>4.1847666000000006</v>
      </c>
      <c r="Z26" s="30">
        <f t="shared" ref="Z26" si="19">+Z17+Z21+Z24</f>
        <v>4.5200000000000005</v>
      </c>
    </row>
    <row r="27" spans="1:26" x14ac:dyDescent="0.3">
      <c r="P27" s="85"/>
    </row>
    <row r="28" spans="1:26" x14ac:dyDescent="0.3">
      <c r="J28" s="87" t="s">
        <v>39</v>
      </c>
      <c r="K28" s="88"/>
      <c r="L28" s="30">
        <f>+L26+L7</f>
        <v>8.8433812500000002</v>
      </c>
      <c r="M28" s="30">
        <f t="shared" ref="M28:Q28" si="20">+M26+M7</f>
        <v>7.9642137499999999</v>
      </c>
      <c r="N28" s="30">
        <f t="shared" si="20"/>
        <v>7.7266615000000005</v>
      </c>
      <c r="O28" s="30">
        <f t="shared" si="20"/>
        <v>8.1654106000000013</v>
      </c>
      <c r="P28" s="85"/>
      <c r="Q28" s="47">
        <f t="shared" si="20"/>
        <v>8.5354919999999996</v>
      </c>
      <c r="R28" s="46">
        <f>+R26+R7</f>
        <v>8.9854919999999989</v>
      </c>
      <c r="S28" s="17">
        <f>+(R28-Q28)/Q28</f>
        <v>5.2721038224861475E-2</v>
      </c>
      <c r="T28" s="17"/>
      <c r="U28" s="29">
        <f>(R28-V28)/R28</f>
        <v>-5.5645255707756462E-2</v>
      </c>
      <c r="V28" s="49">
        <f>+V26+V7</f>
        <v>9.4854919999999989</v>
      </c>
      <c r="X28" s="49">
        <f>+X26+X7</f>
        <v>9.6847665999999997</v>
      </c>
      <c r="Y28" s="17"/>
    </row>
    <row r="29" spans="1:26" x14ac:dyDescent="0.3">
      <c r="P29" s="85"/>
      <c r="S29">
        <f>+Q28*(1+S28)</f>
        <v>8.9854919999999989</v>
      </c>
    </row>
    <row r="30" spans="1:26" x14ac:dyDescent="0.3">
      <c r="A30" s="83" t="s">
        <v>26</v>
      </c>
      <c r="B30" s="83"/>
      <c r="C30" s="10">
        <f>+C26/C6</f>
        <v>0.98651639518969581</v>
      </c>
      <c r="D30" s="10">
        <f>+D26/D6</f>
        <v>0.94765867528863512</v>
      </c>
      <c r="E30" s="10"/>
      <c r="F30" s="10">
        <f>+F26/F6</f>
        <v>0.96282121409325316</v>
      </c>
      <c r="G30" s="10">
        <f>+F30-D30</f>
        <v>1.5162538804618042E-2</v>
      </c>
      <c r="H30" s="10">
        <f>+H26/H6</f>
        <v>0.8461391598898651</v>
      </c>
      <c r="J30" s="73" t="s">
        <v>34</v>
      </c>
      <c r="K30" s="73"/>
      <c r="L30" s="30">
        <f>+L5-L28</f>
        <v>2.3191187499999995</v>
      </c>
      <c r="M30" s="30">
        <f t="shared" ref="M30:O30" si="21">+M5-M28</f>
        <v>3.1982862499999998</v>
      </c>
      <c r="N30" s="30">
        <f t="shared" si="21"/>
        <v>2.8183385000000012</v>
      </c>
      <c r="O30" s="30">
        <f t="shared" si="21"/>
        <v>1.2325894000000002</v>
      </c>
      <c r="P30" s="86"/>
      <c r="Q30" s="30">
        <f>+Q5-Q28</f>
        <v>1.8245079999999998</v>
      </c>
      <c r="R30" s="30">
        <f>+R5-R28</f>
        <v>1.3745080000000005</v>
      </c>
      <c r="V30" s="30">
        <f>+V5-V28</f>
        <v>1.4206979560095654</v>
      </c>
      <c r="X30" s="30">
        <f t="shared" ref="X30" si="22">+X9-X26</f>
        <v>1.1932333999999996</v>
      </c>
      <c r="Z30" s="30">
        <f t="shared" ref="Z30" si="23">+Z9-Z26</f>
        <v>1.8456339999999996</v>
      </c>
    </row>
    <row r="32" spans="1:26" x14ac:dyDescent="0.3">
      <c r="A32" s="83" t="s">
        <v>23</v>
      </c>
      <c r="B32" s="83"/>
      <c r="C32" s="9">
        <f>+C6-C26</f>
        <v>50925</v>
      </c>
      <c r="D32" s="9">
        <f>+D6-D26</f>
        <v>195363</v>
      </c>
      <c r="E32" s="9"/>
      <c r="F32" s="9">
        <f>+F6-F26</f>
        <v>138769.1120000002</v>
      </c>
      <c r="G32" s="15">
        <f>+F32-D32</f>
        <v>-56593.887999999803</v>
      </c>
      <c r="H32" s="9">
        <f>+H6-H26</f>
        <v>132270.01</v>
      </c>
      <c r="L32" s="37">
        <f>+L30/L5</f>
        <v>0.20775979843225079</v>
      </c>
      <c r="M32" s="37">
        <f>+M30/M5</f>
        <v>0.28652060470324747</v>
      </c>
      <c r="N32" s="37">
        <f>+N30/N5</f>
        <v>0.26726775723091517</v>
      </c>
      <c r="O32" s="37">
        <f>+O30/O5</f>
        <v>0.13115443711427963</v>
      </c>
      <c r="P32" s="37"/>
      <c r="Q32" s="37">
        <f>+Q30/Q5</f>
        <v>0.17611081081081081</v>
      </c>
      <c r="R32" s="37">
        <f>+R30/R5</f>
        <v>0.13267451737451744</v>
      </c>
      <c r="V32" s="37">
        <f>+V30/V5</f>
        <v>0.13026528620352223</v>
      </c>
      <c r="X32" s="37">
        <f>+X30/$Q$5</f>
        <v>0.11517696911196908</v>
      </c>
      <c r="Z32" s="37">
        <f>+Z30/Z5</f>
        <v>0.16238724562131771</v>
      </c>
    </row>
    <row r="33" spans="1:26" x14ac:dyDescent="0.3">
      <c r="Q33" s="36"/>
      <c r="R33" s="36"/>
      <c r="V33" s="36"/>
      <c r="X33" s="36"/>
      <c r="Z33" s="36"/>
    </row>
    <row r="34" spans="1:26" x14ac:dyDescent="0.3">
      <c r="A34" s="83" t="s">
        <v>25</v>
      </c>
      <c r="B34" s="83"/>
      <c r="C34" s="10">
        <f>+C32/C6</f>
        <v>1.3483604810304148E-2</v>
      </c>
      <c r="D34" s="10">
        <f>+D32/D6</f>
        <v>5.2341324711364906E-2</v>
      </c>
      <c r="E34" s="10"/>
      <c r="F34" s="10">
        <f>+F32/F6</f>
        <v>3.7178785906746802E-2</v>
      </c>
      <c r="G34" s="14">
        <f>+F34-D34</f>
        <v>-1.5162538804618104E-2</v>
      </c>
      <c r="H34" s="10">
        <f>+H32/H6</f>
        <v>0.1538608401101349</v>
      </c>
      <c r="K34" s="38"/>
      <c r="L34" s="39">
        <v>0.20780000000000001</v>
      </c>
      <c r="M34" s="39"/>
      <c r="N34" s="40"/>
      <c r="O34" s="40"/>
      <c r="P34" s="40"/>
      <c r="Q34" s="50"/>
      <c r="R34" s="43">
        <f>+R32-Q32</f>
        <v>-4.3436293436293377E-2</v>
      </c>
      <c r="V34" s="43">
        <f>+V32-S32</f>
        <v>0.13026528620352223</v>
      </c>
      <c r="X34" s="45">
        <f>+X32-Q32</f>
        <v>-6.0933841698841737E-2</v>
      </c>
      <c r="Z34" s="41"/>
    </row>
    <row r="35" spans="1:26" x14ac:dyDescent="0.3">
      <c r="K35" s="40"/>
      <c r="M35" s="40"/>
      <c r="N35" s="40"/>
      <c r="O35" s="40"/>
      <c r="P35" s="40"/>
      <c r="Q35" s="41"/>
      <c r="R35" s="41"/>
      <c r="V35" s="41"/>
      <c r="X35" s="41"/>
      <c r="Z35" s="41"/>
    </row>
    <row r="36" spans="1:26" x14ac:dyDescent="0.3">
      <c r="K36" s="41"/>
      <c r="L36" s="39">
        <f>+L34-L32</f>
        <v>4.020156774922623E-5</v>
      </c>
      <c r="M36" s="40"/>
      <c r="N36" s="40"/>
      <c r="O36" s="40"/>
      <c r="P36" s="40"/>
      <c r="Q36" s="40"/>
      <c r="R36" s="40"/>
      <c r="V36" s="40"/>
      <c r="X36" s="40"/>
      <c r="Z36" s="40"/>
    </row>
    <row r="37" spans="1:26" x14ac:dyDescent="0.3">
      <c r="K37" s="41"/>
      <c r="L37" s="41"/>
      <c r="M37" s="41"/>
      <c r="N37" s="42"/>
      <c r="O37" s="42"/>
      <c r="P37" s="42"/>
      <c r="Q37" s="41"/>
      <c r="R37" s="41"/>
      <c r="V37" s="41"/>
      <c r="X37" s="41"/>
      <c r="Z37" s="41"/>
    </row>
    <row r="38" spans="1:26" x14ac:dyDescent="0.3">
      <c r="K38" s="41"/>
      <c r="L38" s="41"/>
      <c r="M38" s="41"/>
      <c r="N38" s="38"/>
      <c r="O38" s="41"/>
      <c r="P38" s="41"/>
      <c r="Q38" s="41"/>
      <c r="R38" s="41"/>
      <c r="V38" s="41"/>
      <c r="X38" s="41"/>
      <c r="Z38" s="41"/>
    </row>
    <row r="40" spans="1:26" x14ac:dyDescent="0.3">
      <c r="L40" s="29"/>
      <c r="M40" s="29"/>
    </row>
  </sheetData>
  <mergeCells count="17">
    <mergeCell ref="A34:B34"/>
    <mergeCell ref="F2:G2"/>
    <mergeCell ref="A6:B6"/>
    <mergeCell ref="A10:B10"/>
    <mergeCell ref="A17:B17"/>
    <mergeCell ref="A21:B21"/>
    <mergeCell ref="A24:B24"/>
    <mergeCell ref="A26:B26"/>
    <mergeCell ref="J30:K30"/>
    <mergeCell ref="P2:P30"/>
    <mergeCell ref="J28:K28"/>
    <mergeCell ref="A30:B30"/>
    <mergeCell ref="A32:B32"/>
    <mergeCell ref="J17:K17"/>
    <mergeCell ref="J21:K21"/>
    <mergeCell ref="J24:K24"/>
    <mergeCell ref="J26:K26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3" sqref="D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SCA CENTRE</vt:lpstr>
      <vt:lpstr>Feuil1</vt:lpstr>
      <vt:lpstr>Feuil2</vt:lpstr>
    </vt:vector>
  </TitlesOfParts>
  <Company>CEGID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cblanpain1</dc:creator>
  <cp:lastModifiedBy>BLANPAIN Cecile (Feurs)</cp:lastModifiedBy>
  <dcterms:created xsi:type="dcterms:W3CDTF">2022-12-07T20:53:29Z</dcterms:created>
  <dcterms:modified xsi:type="dcterms:W3CDTF">2023-12-18T11:44:19Z</dcterms:modified>
</cp:coreProperties>
</file>