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bicknell/Documents/DCC Reference Implementation/DCC-Mobile-Decoder/hardware/reference/Breadboard-1/"/>
    </mc:Choice>
  </mc:AlternateContent>
  <xr:revisionPtr revIDLastSave="0" documentId="13_ncr:1_{6EE6768E-4B2D-8D48-847E-F4FA1AA255EC}" xr6:coauthVersionLast="47" xr6:coauthVersionMax="47" xr10:uidLastSave="{00000000-0000-0000-0000-000000000000}"/>
  <bookViews>
    <workbookView xWindow="13660" yWindow="8760" windowWidth="28040" windowHeight="17440" activeTab="10" xr2:uid="{E2FDA5F7-4457-0342-8592-4B5131180552}"/>
  </bookViews>
  <sheets>
    <sheet name="Project" sheetId="1" r:id="rId1"/>
    <sheet name="ME6203A50M3G" sheetId="5" r:id="rId2"/>
    <sheet name="PIC18F16Q40" sheetId="3" r:id="rId3"/>
    <sheet name="2N7002" sheetId="2" r:id="rId4"/>
    <sheet name="F0F F0R" sheetId="8" r:id="rId5"/>
    <sheet name="Diag LEDs" sheetId="14" r:id="rId6"/>
    <sheet name="DMN6140" sheetId="11" r:id="rId7"/>
    <sheet name="SI2309" sheetId="12" r:id="rId8"/>
    <sheet name="DTC143ZCA" sheetId="13" r:id="rId9"/>
    <sheet name="BackEMF" sheetId="7" r:id="rId10"/>
    <sheet name="Dummy Load" sheetId="1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3" l="1"/>
  <c r="C24" i="16"/>
  <c r="C17" i="16" s="1"/>
  <c r="C23" i="16"/>
  <c r="C25" i="16" s="1"/>
  <c r="C19" i="16" s="1"/>
  <c r="C43" i="14"/>
  <c r="C33" i="14" s="1"/>
  <c r="C39" i="14" s="1"/>
  <c r="C46" i="3"/>
  <c r="C32" i="11"/>
  <c r="C28" i="8"/>
  <c r="C35" i="13"/>
  <c r="C29" i="13" s="1"/>
  <c r="C30" i="13" s="1"/>
  <c r="C24" i="13" s="1"/>
  <c r="C32" i="14"/>
  <c r="C31" i="14"/>
  <c r="C30" i="14"/>
  <c r="C29" i="14"/>
  <c r="C28" i="14"/>
  <c r="C27" i="14"/>
  <c r="C32" i="12"/>
  <c r="C27" i="12" s="1"/>
  <c r="C28" i="12" s="1"/>
  <c r="C23" i="12" s="1"/>
  <c r="C22" i="8"/>
  <c r="C21" i="8"/>
  <c r="C12" i="7"/>
  <c r="C31" i="13"/>
  <c r="C25" i="13" s="1"/>
  <c r="C22" i="13"/>
  <c r="C21" i="13"/>
  <c r="C19" i="12"/>
  <c r="C22" i="11"/>
  <c r="C22" i="12"/>
  <c r="C20" i="12"/>
  <c r="C21" i="12"/>
  <c r="C21" i="11"/>
  <c r="C20" i="11"/>
  <c r="C28" i="11"/>
  <c r="C27" i="11"/>
  <c r="C23" i="11" s="1"/>
  <c r="C23" i="8"/>
  <c r="C24" i="8" s="1"/>
  <c r="C22" i="7"/>
  <c r="C17" i="7" s="1"/>
  <c r="C21" i="7"/>
  <c r="C16" i="7" s="1"/>
  <c r="C26" i="3"/>
  <c r="C23" i="3"/>
  <c r="C34" i="3"/>
  <c r="C35" i="3" s="1"/>
  <c r="C33" i="3"/>
  <c r="C25" i="3"/>
  <c r="C24" i="3"/>
  <c r="C23" i="5"/>
  <c r="C22" i="5"/>
  <c r="C21" i="5"/>
  <c r="C20" i="5"/>
  <c r="C19" i="5"/>
  <c r="C30" i="2"/>
  <c r="C24" i="2" s="1"/>
  <c r="C29" i="2"/>
  <c r="C22" i="2"/>
  <c r="C21" i="2"/>
  <c r="C23" i="2"/>
  <c r="C26" i="16" l="1"/>
  <c r="C18" i="16"/>
  <c r="C35" i="14"/>
  <c r="C20" i="14" s="1"/>
  <c r="C37" i="14"/>
  <c r="C22" i="14" s="1"/>
  <c r="C34" i="14"/>
  <c r="C19" i="14" s="1"/>
  <c r="C38" i="14"/>
  <c r="C23" i="14" s="1"/>
  <c r="C36" i="14"/>
  <c r="C21" i="14" s="1"/>
  <c r="C18" i="14"/>
  <c r="C23" i="13"/>
  <c r="C16" i="8"/>
  <c r="C28" i="3"/>
  <c r="C36" i="3"/>
  <c r="C27" i="3" s="1"/>
  <c r="C31" i="2"/>
  <c r="C25" i="2" l="1"/>
  <c r="C38" i="3"/>
  <c r="C29" i="3" s="1"/>
</calcChain>
</file>

<file path=xl/sharedStrings.xml><?xml version="1.0" encoding="utf-8"?>
<sst xmlns="http://schemas.openxmlformats.org/spreadsheetml/2006/main" count="669" uniqueCount="270">
  <si>
    <t>Properties</t>
  </si>
  <si>
    <t>Footprint</t>
  </si>
  <si>
    <t>SOT-23</t>
  </si>
  <si>
    <t>Vdss</t>
  </si>
  <si>
    <t>Rds(on)</t>
  </si>
  <si>
    <t>Id</t>
  </si>
  <si>
    <t>Volts</t>
  </si>
  <si>
    <t>Ω</t>
  </si>
  <si>
    <t>Amps</t>
  </si>
  <si>
    <t>Description</t>
  </si>
  <si>
    <t>Name</t>
  </si>
  <si>
    <t>Value</t>
  </si>
  <si>
    <t>Unit</t>
  </si>
  <si>
    <t>2N7002</t>
  </si>
  <si>
    <t>The 2N7002 NPN MOSFET is a widely copied "logic level" MOSFET designed to be turned on and off by a digital circuit.  Typically Vdss is 60V, Vgs(th) is 2.5v, and Id is at least 100ma at maximum temperature mounted to normal FR4.  It is not unusual to find enhanced versions of this part with increased current capability.  Typically available in SOT-23, SOT-323, SOT-523, and DFN packages.</t>
  </si>
  <si>
    <t>Calculations</t>
  </si>
  <si>
    <t>Comment</t>
  </si>
  <si>
    <t>Ciss(max)</t>
  </si>
  <si>
    <t>Vgs(th, max)</t>
  </si>
  <si>
    <t>Rg</t>
  </si>
  <si>
    <t>Validations</t>
  </si>
  <si>
    <t>Project Requirements</t>
  </si>
  <si>
    <t>DCC V(max)</t>
  </si>
  <si>
    <t>DCC V(min)</t>
  </si>
  <si>
    <t>µC V</t>
  </si>
  <si>
    <t>Maximum function current supported.</t>
  </si>
  <si>
    <t>Operating voltage of the µC.</t>
  </si>
  <si>
    <t>Vdss &gt; DCC (max)</t>
  </si>
  <si>
    <t>Or greater.</t>
  </si>
  <si>
    <t>Typical.</t>
  </si>
  <si>
    <t>If</t>
  </si>
  <si>
    <t>Id &gt; If</t>
  </si>
  <si>
    <t>Vgs &lt; µC V</t>
  </si>
  <si>
    <t>Check</t>
  </si>
  <si>
    <t>TRUE/FALSE</t>
  </si>
  <si>
    <t>D-&gt;S voltage higher than maximum DCC voltage.</t>
  </si>
  <si>
    <t>Gate threshold voltage below µC operating voltage.</t>
  </si>
  <si>
    <t>Maxium current higher than project specification.</t>
  </si>
  <si>
    <t>Circuit Usage</t>
  </si>
  <si>
    <t>A low side switch to turn common-anode functions on-and-off.</t>
  </si>
  <si>
    <t>Calaculation</t>
  </si>
  <si>
    <t>PIC18F16Q40</t>
  </si>
  <si>
    <t>µC contolling the project.</t>
  </si>
  <si>
    <t>Minimum value to stay within spec.</t>
  </si>
  <si>
    <t>Selections</t>
  </si>
  <si>
    <t>Parameter</t>
  </si>
  <si>
    <t>Min Gate R</t>
  </si>
  <si>
    <t>Max Gate I</t>
  </si>
  <si>
    <t>Max inrush, based on selected value.</t>
  </si>
  <si>
    <t>Notes</t>
  </si>
  <si>
    <t>6 function outputs, operating in unison.</t>
  </si>
  <si>
    <t>Max Gate I &lt; Igpio (max)</t>
  </si>
  <si>
    <t>Gate resistor keeps current below µC max.</t>
  </si>
  <si>
    <t>Max Total I</t>
  </si>
  <si>
    <t>Max Total I &lt; Iall(max)</t>
  </si>
  <si>
    <t>E6/E12/E24 Value that is &gt; 200.</t>
  </si>
  <si>
    <t>Check that all functions together are below the µC total output current.</t>
  </si>
  <si>
    <t>ME6203A50M3G</t>
  </si>
  <si>
    <t>ME6203 series are low-dropout linear voltage regulators with a built-in voltage reference module, error correction module and phase compensation module. ME6203 series are based on the CMOS process and allow high voltage input with low quiescent current. This series can deliver 100mA output current and allow an input voltage as high as 40V.This series has the function of internal feedback resistor setting from 2.1V to 12V. The output accuracy is ±2%. Typically available in SOT89-3, SOT23-3, and TO92.</t>
  </si>
  <si>
    <t>Voltage regulator supplying the µC.</t>
  </si>
  <si>
    <t>1. Data sheet recommends electrolytic or tantalum capacitors with high input voltages.</t>
  </si>
  <si>
    <t>Iout (max)</t>
  </si>
  <si>
    <t>Vin (max)</t>
  </si>
  <si>
    <t>Vout</t>
  </si>
  <si>
    <t>Vin (max) &gt; DCC (max)</t>
  </si>
  <si>
    <t>Vin (min) &lt; DCC (min)</t>
  </si>
  <si>
    <t>Regulator min Vin lower than min DCC voltage.</t>
  </si>
  <si>
    <t>Regulator max Vin higher than max DCC voltage.</t>
  </si>
  <si>
    <t>Vin (min)</t>
  </si>
  <si>
    <t>Vdd Imax</t>
  </si>
  <si>
    <t>47.1 Absolute Maximum Ratings</t>
  </si>
  <si>
    <t>https://ww1.microchip.com/downloads/aemDocuments/documents/MCU08/ProductDocuments/DataSheets/PIC18F06-16Q40-Microcontroller-Data-Sheet-DS40002216.pdf</t>
  </si>
  <si>
    <t>Iout (max) &gt; Vdd I (max)</t>
  </si>
  <si>
    <t>Regular max I is higher than µC max I.</t>
  </si>
  <si>
    <t xml:space="preserve">50V 10uF X5R 10% </t>
  </si>
  <si>
    <t>Capacitor rated for higher than max voltage.</t>
  </si>
  <si>
    <t>Cin V (max) &gt; DCC (max)</t>
  </si>
  <si>
    <t>Cout V (max) &gt; Vout</t>
  </si>
  <si>
    <t>Component Property</t>
  </si>
  <si>
    <t>Component</t>
  </si>
  <si>
    <t>Vdd</t>
  </si>
  <si>
    <t>47.3.1 Supply Voltage Param. No. D002</t>
  </si>
  <si>
    <t>Vdd = Project Voltage</t>
  </si>
  <si>
    <t>Vih TTL Buffer</t>
  </si>
  <si>
    <t>47.3.4 I/O Ports Param. No. D320</t>
  </si>
  <si>
    <t>Vil TTL  Buffer</t>
  </si>
  <si>
    <t>47.3.4 I/O Ports Param. No. D300</t>
  </si>
  <si>
    <t>Project voltage.</t>
  </si>
  <si>
    <t>Voltage Divider R1</t>
  </si>
  <si>
    <t>Max OverDrive</t>
  </si>
  <si>
    <t>Calculate R1 @Vih</t>
  </si>
  <si>
    <t>Maximum track voltage that won't overdrive the input pin.</t>
  </si>
  <si>
    <t>Vdd selection is the same as the project voltage.</t>
  </si>
  <si>
    <t>Vdd is in range of the part.</t>
  </si>
  <si>
    <t>Watts</t>
  </si>
  <si>
    <t>Pdiv</t>
  </si>
  <si>
    <t>Idiv</t>
  </si>
  <si>
    <t>Divider current at maximum track voltage.</t>
  </si>
  <si>
    <t>Divider power at maximum track voltage.</t>
  </si>
  <si>
    <t>1/8 Watt resistors are sufficient for the voltage divider.</t>
  </si>
  <si>
    <t>Minimum voltage to detect high is below the minimum DCC voltage divided by the voltage divider.</t>
  </si>
  <si>
    <t>NMRA Minimum Track Voltage</t>
  </si>
  <si>
    <t>NMRA Maximum Track Voltage</t>
  </si>
  <si>
    <t>Maximum track voltage overdrives the DCC input pin.  See note #1.</t>
  </si>
  <si>
    <t>Vdiv(max)</t>
  </si>
  <si>
    <t>Vdd(min) &lt; Vdd</t>
  </si>
  <si>
    <t>Vdd(max) &gt; Vdd</t>
  </si>
  <si>
    <t xml:space="preserve">Vih &lt; DCCin(min) Div </t>
  </si>
  <si>
    <t>Vdiv(max) &gt; DCCin(max)</t>
  </si>
  <si>
    <t>Igpio(max)</t>
  </si>
  <si>
    <t>Iall(max)</t>
  </si>
  <si>
    <t>Vdd(min)</t>
  </si>
  <si>
    <t>Vdd(max)</t>
  </si>
  <si>
    <t>Main processor for the board.</t>
  </si>
  <si>
    <t>Picked</t>
  </si>
  <si>
    <t>Needed in the PIC18F16Q40 for DCC voltage divider, reuse here.</t>
  </si>
  <si>
    <t>Vdiv_out(max)</t>
  </si>
  <si>
    <t>Vdiv_out(min)</t>
  </si>
  <si>
    <t>Max input to ADC pin measuring BEMF.</t>
  </si>
  <si>
    <t>Min input to ADC pin measureing BEMF.</t>
  </si>
  <si>
    <t>Headlights</t>
  </si>
  <si>
    <t>Onboard LEDs driven by the uC provide the F0F and F0R headlight functions.</t>
  </si>
  <si>
    <t>Indicator Lights</t>
  </si>
  <si>
    <t>Vforward</t>
  </si>
  <si>
    <t>Imax</t>
  </si>
  <si>
    <t>Current through the LED</t>
  </si>
  <si>
    <t>Pd</t>
  </si>
  <si>
    <t>Power dissipated by LED</t>
  </si>
  <si>
    <t>Id &lt; Imax</t>
  </si>
  <si>
    <t>Columbs</t>
  </si>
  <si>
    <t>Needed in PIC18F16Q40 block for the DCC voltage divider, reuse here.</t>
  </si>
  <si>
    <t>Pullup Resistor</t>
  </si>
  <si>
    <t>DMN6140</t>
  </si>
  <si>
    <t>Max</t>
  </si>
  <si>
    <t>Max @70C</t>
  </si>
  <si>
    <t>SI2309</t>
  </si>
  <si>
    <t>Vgs@Vdcc(min) &lt; Vgs(th,max)</t>
  </si>
  <si>
    <t>When the driver transistor is on, gate is brought low to ground, check the voltage difference exceeds the gate difference.</t>
  </si>
  <si>
    <t>Maximum current across decoder.</t>
  </si>
  <si>
    <t xml:space="preserve">Max </t>
  </si>
  <si>
    <t>Ipullup @Vdcc(max)</t>
  </si>
  <si>
    <t>Current through the pullup at Vdcc(max).</t>
  </si>
  <si>
    <t>Ppullup @Vdcc(max)</t>
  </si>
  <si>
    <t>1/8 Watt resistors sufficient.</t>
  </si>
  <si>
    <t>Ppullup &lt; 1/8W</t>
  </si>
  <si>
    <t>DTC143ZCA</t>
  </si>
  <si>
    <t>Vcc</t>
  </si>
  <si>
    <t>Vdcc &gt; Vdcc(max)</t>
  </si>
  <si>
    <t>Vcc &gt; Vdcc(max)</t>
  </si>
  <si>
    <t>Io(max)</t>
  </si>
  <si>
    <t>Vi(on)</t>
  </si>
  <si>
    <t>Ii(max)</t>
  </si>
  <si>
    <t>Ipullup &lt; Io(max)</t>
  </si>
  <si>
    <t>Vi(on) &lt; µC V</t>
  </si>
  <si>
    <t>Current through pullup is within range of the device.</t>
  </si>
  <si>
    <t>Device can handle our max voltage.</t>
  </si>
  <si>
    <t>Ri</t>
  </si>
  <si>
    <t>Rpulldown</t>
  </si>
  <si>
    <t>Current through the internal resistors + the B-E current to determine maximum current draw.</t>
  </si>
  <si>
    <t>Imax &lt; Igpio</t>
  </si>
  <si>
    <t>Total current is within limits of the GPIO pin on the uC.</t>
  </si>
  <si>
    <t>Needed in the 2N7002 for the gate resistor, reuse here.</t>
  </si>
  <si>
    <t>ADC V(min)</t>
  </si>
  <si>
    <t>ADC V(max)</t>
  </si>
  <si>
    <t>ADC can measure 0-Vdd of PIC.</t>
  </si>
  <si>
    <t>Vdiv_out(min) &gt; ADC V(min)</t>
  </si>
  <si>
    <t>Vdiv_out(max) &lt; ADC V(max)</t>
  </si>
  <si>
    <t>Check that we are in-range with the voltage divider.</t>
  </si>
  <si>
    <t>R(min)</t>
  </si>
  <si>
    <t>R(max)</t>
  </si>
  <si>
    <t>Resistor value for Imax current.</t>
  </si>
  <si>
    <t>Resistor value for 0.001A current.</t>
  </si>
  <si>
    <t>Component(s)</t>
  </si>
  <si>
    <t>R47, R48</t>
  </si>
  <si>
    <t>Current is within the LED limit.</t>
  </si>
  <si>
    <t>R41-R46</t>
  </si>
  <si>
    <t>R37</t>
  </si>
  <si>
    <t>R35-R36</t>
  </si>
  <si>
    <t>R22</t>
  </si>
  <si>
    <t>R21</t>
  </si>
  <si>
    <t>R33-R34</t>
  </si>
  <si>
    <t>R31-R32</t>
  </si>
  <si>
    <t>The DMN6140 is a 60V, 2.1A N-Channel MOSFET designed to have a minimal Rds(on) for power switching applications.</t>
  </si>
  <si>
    <t>Switches the low side of the H-Bridge to drive the motor.</t>
  </si>
  <si>
    <t>Switches the high side of the H-Bridge to drive the motor.</t>
  </si>
  <si>
    <t>A SI2309 is a 60V, 1.6A P-Channel MOSFET is designed to have a minimal Rds(on) for power switching applications.</t>
  </si>
  <si>
    <t>A "digital" or "pre-biased" BJT 100ma transitor with integated 4.7K gate input resistor and 47K gate pulldown resistor.</t>
  </si>
  <si>
    <t>Drive the high side H-Bridge MOSFET, as its gate is out of reach of the µC GPIO pins.</t>
  </si>
  <si>
    <t>R23</t>
  </si>
  <si>
    <t>R24</t>
  </si>
  <si>
    <t>C23</t>
  </si>
  <si>
    <t>Value not critical, reuse R22 value.</t>
  </si>
  <si>
    <t>Farads</t>
  </si>
  <si>
    <t>C21</t>
  </si>
  <si>
    <t>Data sheet recommended decoupling.</t>
  </si>
  <si>
    <t>Value not critical, reuse C21 value.</t>
  </si>
  <si>
    <t>Current through LED @Vdcc(max).</t>
  </si>
  <si>
    <t>Current through LED @Vdcc(min).</t>
  </si>
  <si>
    <t>Power dissipated by LED @Vdcc(max).</t>
  </si>
  <si>
    <t>At least 1ma to light the LED properly.</t>
  </si>
  <si>
    <t>Diagnostic LEDs.</t>
  </si>
  <si>
    <t>R51-R56</t>
  </si>
  <si>
    <t>BackEMF Measurement</t>
  </si>
  <si>
    <t>Passive circuitry to enable a BackEMF measurement.</t>
  </si>
  <si>
    <t>Act as a voltage divider regardless of motor direction providing a voltage measurement to the PIC ADC so it can measure BackEMF.</t>
  </si>
  <si>
    <t>E12/E24 value that is in-range.</t>
  </si>
  <si>
    <t>Needed in the BackEMF voltage divider, reuse here.</t>
  </si>
  <si>
    <t>Dummy Load</t>
  </si>
  <si>
    <t>Onboard LEDs to provide F1-F6 indications, as well as the motor direction LED.</t>
  </si>
  <si>
    <t>Vforward(white)</t>
  </si>
  <si>
    <t>Vforward(red)</t>
  </si>
  <si>
    <t>Vforward(green)</t>
  </si>
  <si>
    <t>R(white,min) @Vdcc(max)</t>
  </si>
  <si>
    <t>R(white,max) @Vdcc(min)</t>
  </si>
  <si>
    <t>R(red,min) @Vdcc(max)</t>
  </si>
  <si>
    <t>R(red,max) @Vdcc(min)</t>
  </si>
  <si>
    <t>R(greem,min) @Vdcc(max)</t>
  </si>
  <si>
    <t>R(green,max) @Vdcc(min)</t>
  </si>
  <si>
    <t>Id(white)@Vdcc(max) &lt; Imax</t>
  </si>
  <si>
    <t>Id(white)@Vdcc(min) &gt; 1ma</t>
  </si>
  <si>
    <t>Id(red)@Vdcc(max) &lt; Imax</t>
  </si>
  <si>
    <t>Id(red)@Vdcc(min) &gt; 1ma</t>
  </si>
  <si>
    <t>Id(green)@Vdcc(max) &lt; Imax</t>
  </si>
  <si>
    <t>Id(green)@Vdcc(min) &gt; 1ma</t>
  </si>
  <si>
    <t>Id(white) @Vdcc(max)</t>
  </si>
  <si>
    <t>Id(white) @Vdcc(min)</t>
  </si>
  <si>
    <t>Id(red) @Vdcc(max)</t>
  </si>
  <si>
    <t>Id(red) @Vdcc(min)</t>
  </si>
  <si>
    <t>Id(green) @Vdcc(max)</t>
  </si>
  <si>
    <t>Id(green) @Vdcc(min)</t>
  </si>
  <si>
    <t>E24 value stocked by JLCPCB.</t>
  </si>
  <si>
    <t>E24 value that is in-range and stocked by JLCPCB.</t>
  </si>
  <si>
    <t>C10</t>
  </si>
  <si>
    <t>C11</t>
  </si>
  <si>
    <t>Passive circuitry to provide a dummy load to the motor driver to enable DCC readback when no motor is connected for development purposes.</t>
  </si>
  <si>
    <t>Resistor to act as a load.</t>
  </si>
  <si>
    <t>R61</t>
  </si>
  <si>
    <t>Imin</t>
  </si>
  <si>
    <t>Ireadback</t>
  </si>
  <si>
    <t>NMRA Minimum Readback Pulse</t>
  </si>
  <si>
    <t>Current @Vdcc(min)</t>
  </si>
  <si>
    <t>Current @Vdcc(max)</t>
  </si>
  <si>
    <t>Current greater than the project requirement.</t>
  </si>
  <si>
    <t>Ireadback &gt;= Imin</t>
  </si>
  <si>
    <t>P(max)</t>
  </si>
  <si>
    <t>P(min)</t>
  </si>
  <si>
    <t>Ir(steady)</t>
  </si>
  <si>
    <t>Ir(pulse)</t>
  </si>
  <si>
    <t>Imax &lt; Ir(steady)</t>
  </si>
  <si>
    <t>Pr</t>
  </si>
  <si>
    <t>Maxium steady state current.</t>
  </si>
  <si>
    <t>Maximum pulsed current.</t>
  </si>
  <si>
    <t>Maximum power dissipation.</t>
  </si>
  <si>
    <t>P(max) &lt; Pr</t>
  </si>
  <si>
    <t>Power dissipation is within in the Resistor's tolerance.  See note #1.</t>
  </si>
  <si>
    <t>1. It is not practical to source a resistor that can handle a 100% on duty cycle at maximum track voltage.  The goal of this part is to enable DCC readback, which is a series of 60ms pulses, maximum 8 (read back in Direct Mode).  User must be cautioned to not use high throttle levels when enabled.</t>
  </si>
  <si>
    <t>D21</t>
  </si>
  <si>
    <t>D11-D14</t>
  </si>
  <si>
    <t>40V 1A (continuous) Diodes</t>
  </si>
  <si>
    <t>40V 1A (continuous) Diode</t>
  </si>
  <si>
    <t>Id21@Vdcc(max)</t>
  </si>
  <si>
    <t>Current through the Diode when the input is Vdcc(max)</t>
  </si>
  <si>
    <t>Pdiv &lt; 1/8 watt</t>
  </si>
  <si>
    <t>Electrical requirements of the project that influence component selection.</t>
  </si>
  <si>
    <t xml:space="preserve"> 1. It is not possible to handle the full NMRA specification of 7-24 volts with a voltage divider.  The PIC18 has an input range of 2.0 - 5.3v, a ratio of 2.65.  The NMRA range of 7-24 volts has a ratio of 3.42 volts.  Since N scale boosters are generally configured for 12v, it's far more likely decoders will be operating in the region of 7-12v than higher voltages.  The parameters were calculated by making the decoder work at Vdcc(min) on the low end, and then calculating the maximum upper track value.  The top side is then clamped with Schottky diode to avoid overdriving the pin when the voltage is greater than Vdiv(max).</t>
  </si>
  <si>
    <t>2. There are many possible regulators.  Key parameters is Vin &gt; Vdcc(max), works with 10uF or smaller capacitors, and can generate at least 100ma.</t>
  </si>
  <si>
    <t>Potential Imax</t>
  </si>
  <si>
    <t>If every output simultaneously has maximum current.</t>
  </si>
  <si>
    <t>Iall(max) &gt; Potential Imax</t>
  </si>
  <si>
    <t>Current of all outputs simultanously is below chip 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</si>
</sst>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00"/>
    <numFmt numFmtId="168" formatCode="0.000000"/>
  </numFmts>
  <fonts count="7" x14ac:knownFonts="1">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FF0000"/>
      <name val="Calibri"/>
      <family val="2"/>
      <scheme val="minor"/>
    </font>
    <font>
      <sz val="12"/>
      <color rgb="FF202122"/>
      <name val="Calibri"/>
      <family val="2"/>
      <scheme val="minor"/>
    </font>
    <font>
      <sz val="12"/>
      <name val="Calibri"/>
      <family val="2"/>
      <scheme val="minor"/>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ck">
        <color theme="4" tint="0.499984740745262"/>
      </top>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cellStyleXfs>
  <cellXfs count="36">
    <xf numFmtId="0" fontId="0" fillId="0" borderId="0" xfId="0"/>
    <xf numFmtId="0" fontId="1" fillId="0" borderId="1" xfId="1"/>
    <xf numFmtId="0" fontId="2" fillId="0" borderId="2" xfId="2"/>
    <xf numFmtId="0" fontId="5" fillId="0" borderId="0" xfId="0" applyFont="1"/>
    <xf numFmtId="0" fontId="0" fillId="0" borderId="0" xfId="0" applyAlignment="1">
      <alignment horizontal="left"/>
    </xf>
    <xf numFmtId="165" fontId="0" fillId="0" borderId="0" xfId="0" applyNumberFormat="1" applyAlignment="1">
      <alignment horizontal="left"/>
    </xf>
    <xf numFmtId="0" fontId="3" fillId="0" borderId="3" xfId="3"/>
    <xf numFmtId="0" fontId="0" fillId="0" borderId="0" xfId="0" applyAlignment="1">
      <alignment wrapText="1"/>
    </xf>
    <xf numFmtId="164" fontId="0" fillId="0" borderId="0" xfId="0" applyNumberFormat="1" applyAlignment="1">
      <alignment horizontal="left"/>
    </xf>
    <xf numFmtId="1" fontId="0" fillId="0" borderId="0" xfId="0" applyNumberFormat="1" applyAlignment="1">
      <alignment horizontal="left"/>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0" fillId="0" borderId="0" xfId="0" applyAlignment="1">
      <alignment horizontal="center" vertical="top"/>
    </xf>
    <xf numFmtId="0" fontId="5" fillId="0" borderId="0" xfId="0" applyFont="1" applyAlignment="1">
      <alignment vertical="top"/>
    </xf>
    <xf numFmtId="165" fontId="0" fillId="0" borderId="0" xfId="0" applyNumberFormat="1" applyAlignment="1">
      <alignment vertical="top"/>
    </xf>
    <xf numFmtId="165" fontId="0" fillId="0" borderId="0" xfId="0" applyNumberFormat="1" applyAlignment="1">
      <alignment horizontal="left" vertical="top"/>
    </xf>
    <xf numFmtId="167" fontId="0" fillId="0" borderId="0" xfId="0" applyNumberFormat="1" applyAlignment="1">
      <alignment horizontal="left" vertical="top"/>
    </xf>
    <xf numFmtId="1" fontId="0" fillId="0" borderId="0" xfId="0" applyNumberFormat="1" applyAlignment="1">
      <alignment horizontal="left" vertical="top"/>
    </xf>
    <xf numFmtId="166" fontId="0" fillId="0" borderId="0" xfId="0" applyNumberFormat="1" applyAlignment="1">
      <alignment vertical="top"/>
    </xf>
    <xf numFmtId="2" fontId="0" fillId="0" borderId="0" xfId="0" applyNumberFormat="1" applyAlignment="1">
      <alignment vertical="top"/>
    </xf>
    <xf numFmtId="0" fontId="0" fillId="0" borderId="0" xfId="0" applyAlignment="1">
      <alignment vertical="top" wrapText="1"/>
    </xf>
    <xf numFmtId="165" fontId="4" fillId="0" borderId="0" xfId="0" applyNumberFormat="1" applyFont="1" applyAlignment="1">
      <alignment vertical="top"/>
    </xf>
    <xf numFmtId="0" fontId="4" fillId="0" borderId="0" xfId="0" applyFont="1" applyAlignment="1">
      <alignment vertical="top" wrapText="1"/>
    </xf>
    <xf numFmtId="168" fontId="0" fillId="0" borderId="0" xfId="0" applyNumberFormat="1" applyAlignment="1">
      <alignment vertical="top"/>
    </xf>
    <xf numFmtId="165" fontId="6" fillId="0" borderId="0" xfId="0" applyNumberFormat="1" applyFont="1" applyAlignment="1">
      <alignment vertical="top"/>
    </xf>
    <xf numFmtId="0" fontId="6" fillId="0" borderId="0" xfId="0" applyFont="1" applyAlignment="1">
      <alignment vertical="top" wrapText="1"/>
    </xf>
    <xf numFmtId="0" fontId="0" fillId="0" borderId="4" xfId="0" applyBorder="1" applyAlignment="1">
      <alignment horizontal="left"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Fill="1" applyAlignment="1">
      <alignment wrapText="1"/>
    </xf>
    <xf numFmtId="0" fontId="4" fillId="0" borderId="0" xfId="0" applyFont="1" applyAlignment="1">
      <alignment horizontal="center" vertical="top"/>
    </xf>
    <xf numFmtId="0" fontId="4" fillId="0" borderId="0" xfId="0" applyFont="1"/>
    <xf numFmtId="0" fontId="4" fillId="0" borderId="0" xfId="0" applyFont="1" applyAlignment="1">
      <alignment wrapText="1"/>
    </xf>
    <xf numFmtId="0" fontId="4" fillId="0" borderId="4" xfId="0" applyFont="1" applyBorder="1" applyAlignment="1">
      <alignment horizontal="left" vertical="top" wrapText="1"/>
    </xf>
    <xf numFmtId="0" fontId="0" fillId="0" borderId="0" xfId="0" applyFill="1" applyAlignment="1">
      <alignment vertical="top"/>
    </xf>
  </cellXfs>
  <cellStyles count="4">
    <cellStyle name="Heading 1" xfId="1" builtinId="16"/>
    <cellStyle name="Heading 2" xfId="2" builtinId="17"/>
    <cellStyle name="Heading 3" xfId="3"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E8460-C63A-9942-B8D8-F92B208762A2}">
  <dimension ref="A1:G15"/>
  <sheetViews>
    <sheetView zoomScaleNormal="100" workbookViewId="0">
      <selection activeCell="A16" sqref="A16:XFD17"/>
    </sheetView>
  </sheetViews>
  <sheetFormatPr baseColWidth="10" defaultRowHeight="16" x14ac:dyDescent="0.2"/>
  <sheetData>
    <row r="1" spans="1:7" ht="21" thickBot="1" x14ac:dyDescent="0.3">
      <c r="A1" s="1" t="s">
        <v>21</v>
      </c>
      <c r="B1" s="1"/>
      <c r="C1" s="1"/>
      <c r="D1" s="1"/>
      <c r="E1" s="1"/>
      <c r="F1" s="1"/>
      <c r="G1" s="1"/>
    </row>
    <row r="2" spans="1:7" ht="17" thickTop="1" x14ac:dyDescent="0.2"/>
    <row r="3" spans="1:7" ht="18" thickBot="1" x14ac:dyDescent="0.25">
      <c r="B3" s="2" t="s">
        <v>9</v>
      </c>
      <c r="C3" s="2"/>
      <c r="D3" s="2"/>
      <c r="E3" s="2"/>
      <c r="F3" s="2"/>
      <c r="G3" s="2"/>
    </row>
    <row r="4" spans="1:7" ht="17" thickTop="1" x14ac:dyDescent="0.2">
      <c r="B4" s="27" t="s">
        <v>263</v>
      </c>
      <c r="C4" s="27"/>
      <c r="D4" s="27"/>
      <c r="E4" s="27"/>
      <c r="F4" s="27"/>
      <c r="G4" s="27"/>
    </row>
    <row r="6" spans="1:7" ht="18" thickBot="1" x14ac:dyDescent="0.25">
      <c r="B6" s="2" t="s">
        <v>0</v>
      </c>
      <c r="C6" s="2"/>
      <c r="D6" s="2"/>
      <c r="E6" s="2"/>
      <c r="F6" s="2"/>
      <c r="G6" s="2"/>
    </row>
    <row r="7" spans="1:7" ht="18" thickTop="1" thickBot="1" x14ac:dyDescent="0.25">
      <c r="B7" s="6" t="s">
        <v>10</v>
      </c>
      <c r="C7" s="6" t="s">
        <v>11</v>
      </c>
      <c r="D7" s="6" t="s">
        <v>12</v>
      </c>
      <c r="E7" s="6" t="s">
        <v>16</v>
      </c>
      <c r="F7" s="6"/>
      <c r="G7" s="6"/>
    </row>
    <row r="8" spans="1:7" x14ac:dyDescent="0.2">
      <c r="B8" t="s">
        <v>22</v>
      </c>
      <c r="C8" s="4">
        <v>30</v>
      </c>
      <c r="D8" t="s">
        <v>6</v>
      </c>
      <c r="E8" t="s">
        <v>102</v>
      </c>
    </row>
    <row r="9" spans="1:7" x14ac:dyDescent="0.2">
      <c r="B9" t="s">
        <v>23</v>
      </c>
      <c r="C9" s="4">
        <v>6</v>
      </c>
      <c r="D9" t="s">
        <v>6</v>
      </c>
      <c r="E9" t="s">
        <v>101</v>
      </c>
    </row>
    <row r="10" spans="1:7" x14ac:dyDescent="0.2">
      <c r="B10" t="s">
        <v>24</v>
      </c>
      <c r="C10" s="4">
        <v>5</v>
      </c>
      <c r="D10" t="s">
        <v>6</v>
      </c>
      <c r="E10" t="s">
        <v>26</v>
      </c>
    </row>
    <row r="11" spans="1:7" x14ac:dyDescent="0.2">
      <c r="B11" t="s">
        <v>30</v>
      </c>
      <c r="C11" s="4">
        <v>0.1</v>
      </c>
      <c r="D11" t="s">
        <v>8</v>
      </c>
      <c r="E11" t="s">
        <v>25</v>
      </c>
    </row>
    <row r="12" spans="1:7" x14ac:dyDescent="0.2">
      <c r="B12" t="s">
        <v>124</v>
      </c>
      <c r="C12" s="5">
        <v>1</v>
      </c>
      <c r="D12" t="s">
        <v>8</v>
      </c>
      <c r="E12" t="s">
        <v>138</v>
      </c>
    </row>
    <row r="13" spans="1:7" x14ac:dyDescent="0.2">
      <c r="B13" t="s">
        <v>238</v>
      </c>
      <c r="C13" s="5">
        <v>0.06</v>
      </c>
      <c r="D13" t="s">
        <v>8</v>
      </c>
      <c r="E13" t="s">
        <v>239</v>
      </c>
    </row>
    <row r="14" spans="1:7" x14ac:dyDescent="0.2">
      <c r="C14" s="9"/>
      <c r="D14" s="3"/>
    </row>
    <row r="15" spans="1:7" x14ac:dyDescent="0.2">
      <c r="D15" s="3"/>
    </row>
  </sheetData>
  <mergeCells count="1">
    <mergeCell ref="B4:G4"/>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30F4F-F8FE-3E47-B647-AE31DBA53EE5}">
  <dimension ref="A1:E30"/>
  <sheetViews>
    <sheetView zoomScaleNormal="100" workbookViewId="0">
      <selection activeCell="C26" sqref="C26"/>
    </sheetView>
  </sheetViews>
  <sheetFormatPr baseColWidth="10" defaultRowHeight="16" x14ac:dyDescent="0.2"/>
  <cols>
    <col min="1" max="1" width="3.83203125" customWidth="1"/>
    <col min="2" max="2" width="20.83203125" customWidth="1"/>
    <col min="3" max="3" width="12.83203125" customWidth="1"/>
    <col min="4" max="4" width="10.83203125" customWidth="1"/>
    <col min="5" max="5" width="33.83203125" customWidth="1"/>
  </cols>
  <sheetData>
    <row r="1" spans="1:5" ht="21" thickBot="1" x14ac:dyDescent="0.3">
      <c r="A1" s="1" t="s">
        <v>202</v>
      </c>
      <c r="B1" s="1"/>
      <c r="C1" s="1"/>
      <c r="D1" s="1"/>
      <c r="E1" s="1"/>
    </row>
    <row r="2" spans="1:5" ht="17" thickTop="1" x14ac:dyDescent="0.2"/>
    <row r="3" spans="1:5" ht="18" thickBot="1" x14ac:dyDescent="0.25">
      <c r="B3" s="2" t="s">
        <v>9</v>
      </c>
      <c r="C3" s="2"/>
      <c r="D3" s="2"/>
      <c r="E3" s="2"/>
    </row>
    <row r="4" spans="1:5" ht="17" thickTop="1" x14ac:dyDescent="0.2">
      <c r="B4" s="27" t="s">
        <v>203</v>
      </c>
      <c r="C4" s="27"/>
      <c r="D4" s="27"/>
      <c r="E4" s="27"/>
    </row>
    <row r="6" spans="1:5" ht="18" thickBot="1" x14ac:dyDescent="0.25">
      <c r="B6" s="2" t="s">
        <v>38</v>
      </c>
      <c r="C6" s="2"/>
      <c r="D6" s="2"/>
      <c r="E6" s="2"/>
    </row>
    <row r="7" spans="1:5" ht="34" customHeight="1" thickTop="1" x14ac:dyDescent="0.2">
      <c r="B7" s="27" t="s">
        <v>204</v>
      </c>
      <c r="C7" s="27"/>
      <c r="D7" s="27"/>
      <c r="E7" s="27"/>
    </row>
    <row r="8" spans="1:5" x14ac:dyDescent="0.2">
      <c r="B8" s="10"/>
      <c r="C8" s="10"/>
      <c r="D8" s="10"/>
      <c r="E8" s="10"/>
    </row>
    <row r="9" spans="1:5" ht="18" thickBot="1" x14ac:dyDescent="0.25">
      <c r="B9" s="2" t="s">
        <v>0</v>
      </c>
      <c r="C9" s="2"/>
      <c r="D9" s="2"/>
      <c r="E9" s="2"/>
    </row>
    <row r="10" spans="1:5" ht="18" thickTop="1" thickBot="1" x14ac:dyDescent="0.25">
      <c r="B10" s="6" t="s">
        <v>10</v>
      </c>
      <c r="C10" s="6" t="s">
        <v>11</v>
      </c>
      <c r="D10" s="6" t="s">
        <v>12</v>
      </c>
      <c r="E10" s="6" t="s">
        <v>16</v>
      </c>
    </row>
    <row r="11" spans="1:5" ht="17" x14ac:dyDescent="0.2">
      <c r="B11" s="12" t="s">
        <v>162</v>
      </c>
      <c r="C11" s="11">
        <v>0</v>
      </c>
      <c r="D11" s="12" t="s">
        <v>6</v>
      </c>
      <c r="E11" s="7" t="s">
        <v>164</v>
      </c>
    </row>
    <row r="12" spans="1:5" ht="17" x14ac:dyDescent="0.2">
      <c r="B12" s="12" t="s">
        <v>163</v>
      </c>
      <c r="C12" s="11">
        <f>Project!C10</f>
        <v>5</v>
      </c>
      <c r="D12" s="12" t="s">
        <v>6</v>
      </c>
      <c r="E12" s="7" t="s">
        <v>164</v>
      </c>
    </row>
    <row r="13" spans="1:5" x14ac:dyDescent="0.2">
      <c r="B13" s="12"/>
      <c r="C13" s="12"/>
      <c r="D13" s="12"/>
    </row>
    <row r="14" spans="1:5" ht="18" thickBot="1" x14ac:dyDescent="0.25">
      <c r="B14" s="2" t="s">
        <v>20</v>
      </c>
      <c r="C14" s="2"/>
      <c r="D14" s="2"/>
      <c r="E14" s="2"/>
    </row>
    <row r="15" spans="1:5" ht="18" thickTop="1" thickBot="1" x14ac:dyDescent="0.25">
      <c r="B15" s="6" t="s">
        <v>33</v>
      </c>
      <c r="C15" s="6" t="s">
        <v>34</v>
      </c>
      <c r="D15" s="6"/>
      <c r="E15" s="6" t="s">
        <v>9</v>
      </c>
    </row>
    <row r="16" spans="1:5" ht="34" x14ac:dyDescent="0.2">
      <c r="B16" s="29" t="s">
        <v>166</v>
      </c>
      <c r="C16" s="13" t="b">
        <f>C21&lt;C12</f>
        <v>1</v>
      </c>
      <c r="E16" s="7" t="s">
        <v>167</v>
      </c>
    </row>
    <row r="17" spans="2:5" ht="34" x14ac:dyDescent="0.2">
      <c r="B17" s="29" t="s">
        <v>165</v>
      </c>
      <c r="C17" s="13" t="b">
        <f>C22&gt;C11</f>
        <v>1</v>
      </c>
      <c r="E17" s="7" t="s">
        <v>167</v>
      </c>
    </row>
    <row r="19" spans="2:5" ht="18" thickBot="1" x14ac:dyDescent="0.25">
      <c r="B19" s="2" t="s">
        <v>15</v>
      </c>
      <c r="C19" s="2"/>
      <c r="D19" s="2"/>
      <c r="E19" s="2"/>
    </row>
    <row r="20" spans="2:5" ht="18" thickTop="1" thickBot="1" x14ac:dyDescent="0.25">
      <c r="B20" s="6" t="s">
        <v>45</v>
      </c>
      <c r="C20" s="6" t="s">
        <v>40</v>
      </c>
      <c r="D20" s="6" t="s">
        <v>12</v>
      </c>
      <c r="E20" s="6" t="s">
        <v>9</v>
      </c>
    </row>
    <row r="21" spans="2:5" ht="34" x14ac:dyDescent="0.2">
      <c r="B21" s="12" t="s">
        <v>116</v>
      </c>
      <c r="C21" s="12">
        <f>(Project!C8*C26)/(C26 + C27)</f>
        <v>4.7663551401869162</v>
      </c>
      <c r="D21" s="14" t="s">
        <v>6</v>
      </c>
      <c r="E21" s="21" t="s">
        <v>118</v>
      </c>
    </row>
    <row r="22" spans="2:5" ht="34" x14ac:dyDescent="0.2">
      <c r="B22" s="12" t="s">
        <v>117</v>
      </c>
      <c r="C22" s="12">
        <f>(Project!C9*C26)/(C26 + C27)</f>
        <v>0.95327102803738317</v>
      </c>
      <c r="D22" s="14" t="s">
        <v>6</v>
      </c>
      <c r="E22" s="21" t="s">
        <v>119</v>
      </c>
    </row>
    <row r="24" spans="2:5" ht="18" thickBot="1" x14ac:dyDescent="0.25">
      <c r="B24" s="2" t="s">
        <v>44</v>
      </c>
      <c r="C24" s="2"/>
      <c r="D24" s="2"/>
      <c r="E24" s="2"/>
    </row>
    <row r="25" spans="2:5" ht="18" thickTop="1" thickBot="1" x14ac:dyDescent="0.25">
      <c r="B25" s="6" t="s">
        <v>78</v>
      </c>
      <c r="C25" s="6" t="s">
        <v>11</v>
      </c>
      <c r="D25" s="6" t="s">
        <v>12</v>
      </c>
      <c r="E25" s="6" t="s">
        <v>9</v>
      </c>
    </row>
    <row r="26" spans="2:5" ht="34" x14ac:dyDescent="0.2">
      <c r="B26" s="12" t="s">
        <v>177</v>
      </c>
      <c r="C26" s="12">
        <v>510</v>
      </c>
      <c r="D26" s="14" t="s">
        <v>7</v>
      </c>
      <c r="E26" s="7" t="s">
        <v>161</v>
      </c>
    </row>
    <row r="27" spans="2:5" ht="34" x14ac:dyDescent="0.2">
      <c r="B27" s="12" t="s">
        <v>176</v>
      </c>
      <c r="C27" s="12">
        <v>2700</v>
      </c>
      <c r="D27" s="14" t="s">
        <v>7</v>
      </c>
      <c r="E27" s="7" t="s">
        <v>231</v>
      </c>
    </row>
    <row r="29" spans="2:5" ht="18" thickBot="1" x14ac:dyDescent="0.25">
      <c r="B29" s="2" t="s">
        <v>49</v>
      </c>
      <c r="C29" s="2"/>
      <c r="D29" s="2"/>
      <c r="E29" s="2"/>
    </row>
    <row r="30" spans="2:5" ht="17" thickTop="1" x14ac:dyDescent="0.2"/>
  </sheetData>
  <mergeCells count="2">
    <mergeCell ref="B4:E4"/>
    <mergeCell ref="B7:E7"/>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A0958-3135-F544-8B71-492A9B7EAB74}">
  <dimension ref="A1:E33"/>
  <sheetViews>
    <sheetView tabSelected="1" zoomScaleNormal="100" workbookViewId="0">
      <selection activeCell="C31" sqref="C31"/>
    </sheetView>
  </sheetViews>
  <sheetFormatPr baseColWidth="10" defaultRowHeight="16" x14ac:dyDescent="0.2"/>
  <cols>
    <col min="1" max="1" width="3.83203125" customWidth="1"/>
    <col min="2" max="2" width="20.83203125" customWidth="1"/>
    <col min="3" max="3" width="12.83203125" customWidth="1"/>
    <col min="4" max="4" width="10.83203125" customWidth="1"/>
    <col min="5" max="5" width="33.83203125" customWidth="1"/>
  </cols>
  <sheetData>
    <row r="1" spans="1:5" ht="21" thickBot="1" x14ac:dyDescent="0.3">
      <c r="A1" s="1" t="s">
        <v>207</v>
      </c>
      <c r="B1" s="1"/>
      <c r="C1" s="1"/>
      <c r="D1" s="1"/>
      <c r="E1" s="1"/>
    </row>
    <row r="2" spans="1:5" ht="17" thickTop="1" x14ac:dyDescent="0.2"/>
    <row r="3" spans="1:5" ht="18" thickBot="1" x14ac:dyDescent="0.25">
      <c r="B3" s="2" t="s">
        <v>9</v>
      </c>
      <c r="C3" s="2"/>
      <c r="D3" s="2"/>
      <c r="E3" s="2"/>
    </row>
    <row r="4" spans="1:5" ht="35" customHeight="1" thickTop="1" x14ac:dyDescent="0.2">
      <c r="B4" s="27" t="s">
        <v>234</v>
      </c>
      <c r="C4" s="27"/>
      <c r="D4" s="27"/>
      <c r="E4" s="27"/>
    </row>
    <row r="6" spans="1:5" ht="18" thickBot="1" x14ac:dyDescent="0.25">
      <c r="B6" s="2" t="s">
        <v>38</v>
      </c>
      <c r="C6" s="2"/>
      <c r="D6" s="2"/>
      <c r="E6" s="2"/>
    </row>
    <row r="7" spans="1:5" ht="18" customHeight="1" thickTop="1" x14ac:dyDescent="0.2">
      <c r="B7" s="27" t="s">
        <v>235</v>
      </c>
      <c r="C7" s="27"/>
      <c r="D7" s="27"/>
      <c r="E7" s="27"/>
    </row>
    <row r="8" spans="1:5" x14ac:dyDescent="0.2">
      <c r="B8" s="10"/>
      <c r="C8" s="10"/>
      <c r="D8" s="10"/>
      <c r="E8" s="10"/>
    </row>
    <row r="9" spans="1:5" ht="18" thickBot="1" x14ac:dyDescent="0.25">
      <c r="B9" s="2" t="s">
        <v>0</v>
      </c>
      <c r="C9" s="2"/>
      <c r="D9" s="2"/>
      <c r="E9" s="2"/>
    </row>
    <row r="10" spans="1:5" ht="18" thickTop="1" thickBot="1" x14ac:dyDescent="0.25">
      <c r="B10" s="6" t="s">
        <v>10</v>
      </c>
      <c r="C10" s="6" t="s">
        <v>11</v>
      </c>
      <c r="D10" s="6" t="s">
        <v>12</v>
      </c>
      <c r="E10" s="6" t="s">
        <v>16</v>
      </c>
    </row>
    <row r="11" spans="1:5" ht="17" x14ac:dyDescent="0.2">
      <c r="B11" s="12" t="s">
        <v>246</v>
      </c>
      <c r="C11" s="11">
        <v>2</v>
      </c>
      <c r="D11" s="12" t="s">
        <v>8</v>
      </c>
      <c r="E11" s="7" t="s">
        <v>250</v>
      </c>
    </row>
    <row r="12" spans="1:5" ht="17" x14ac:dyDescent="0.2">
      <c r="B12" s="12" t="s">
        <v>247</v>
      </c>
      <c r="C12" s="11">
        <v>10</v>
      </c>
      <c r="D12" s="12" t="s">
        <v>8</v>
      </c>
      <c r="E12" s="7" t="s">
        <v>251</v>
      </c>
    </row>
    <row r="13" spans="1:5" ht="17" x14ac:dyDescent="0.2">
      <c r="B13" s="12" t="s">
        <v>249</v>
      </c>
      <c r="C13" s="11">
        <v>2</v>
      </c>
      <c r="D13" s="12" t="s">
        <v>94</v>
      </c>
      <c r="E13" s="7" t="s">
        <v>252</v>
      </c>
    </row>
    <row r="14" spans="1:5" x14ac:dyDescent="0.2">
      <c r="B14" s="12"/>
      <c r="C14" s="12"/>
      <c r="D14" s="12"/>
    </row>
    <row r="15" spans="1:5" ht="18" thickBot="1" x14ac:dyDescent="0.25">
      <c r="B15" s="2" t="s">
        <v>20</v>
      </c>
      <c r="C15" s="2"/>
      <c r="D15" s="2"/>
      <c r="E15" s="2"/>
    </row>
    <row r="16" spans="1:5" ht="18" thickTop="1" thickBot="1" x14ac:dyDescent="0.25">
      <c r="B16" s="6" t="s">
        <v>33</v>
      </c>
      <c r="C16" s="6" t="s">
        <v>34</v>
      </c>
      <c r="D16" s="6"/>
      <c r="E16" s="6" t="s">
        <v>9</v>
      </c>
    </row>
    <row r="17" spans="2:5" ht="34" x14ac:dyDescent="0.2">
      <c r="B17" s="29" t="s">
        <v>243</v>
      </c>
      <c r="C17" s="13" t="b">
        <f>Project!C13&gt;=C24</f>
        <v>1</v>
      </c>
      <c r="E17" s="7" t="s">
        <v>242</v>
      </c>
    </row>
    <row r="18" spans="2:5" ht="34" x14ac:dyDescent="0.2">
      <c r="B18" s="29" t="s">
        <v>248</v>
      </c>
      <c r="C18" s="13" t="b">
        <f>C23&lt;C11</f>
        <v>1</v>
      </c>
      <c r="E18" s="7" t="s">
        <v>167</v>
      </c>
    </row>
    <row r="19" spans="2:5" ht="34" x14ac:dyDescent="0.2">
      <c r="B19" s="29" t="s">
        <v>253</v>
      </c>
      <c r="C19" s="31" t="b">
        <f>C25&lt;C13</f>
        <v>0</v>
      </c>
      <c r="D19" s="32"/>
      <c r="E19" s="33" t="s">
        <v>254</v>
      </c>
    </row>
    <row r="21" spans="2:5" ht="18" thickBot="1" x14ac:dyDescent="0.25">
      <c r="B21" s="2" t="s">
        <v>15</v>
      </c>
      <c r="C21" s="2"/>
      <c r="D21" s="2"/>
      <c r="E21" s="2"/>
    </row>
    <row r="22" spans="2:5" ht="18" thickTop="1" thickBot="1" x14ac:dyDescent="0.25">
      <c r="B22" s="6" t="s">
        <v>45</v>
      </c>
      <c r="C22" s="6" t="s">
        <v>40</v>
      </c>
      <c r="D22" s="6" t="s">
        <v>12</v>
      </c>
      <c r="E22" s="6" t="s">
        <v>9</v>
      </c>
    </row>
    <row r="23" spans="2:5" ht="17" x14ac:dyDescent="0.2">
      <c r="B23" s="12" t="s">
        <v>124</v>
      </c>
      <c r="C23" s="15">
        <f>Project!C8/C30</f>
        <v>0.3</v>
      </c>
      <c r="D23" s="14" t="s">
        <v>8</v>
      </c>
      <c r="E23" s="21" t="s">
        <v>241</v>
      </c>
    </row>
    <row r="24" spans="2:5" ht="17" x14ac:dyDescent="0.2">
      <c r="B24" s="12" t="s">
        <v>237</v>
      </c>
      <c r="C24" s="15">
        <f>Project!C9/C30</f>
        <v>0.06</v>
      </c>
      <c r="D24" s="14" t="s">
        <v>8</v>
      </c>
      <c r="E24" s="21" t="s">
        <v>240</v>
      </c>
    </row>
    <row r="25" spans="2:5" x14ac:dyDescent="0.2">
      <c r="B25" s="12" t="s">
        <v>244</v>
      </c>
      <c r="C25" s="15">
        <f>Project!C8*C23</f>
        <v>9</v>
      </c>
      <c r="D25" s="14" t="s">
        <v>94</v>
      </c>
      <c r="E25" s="21"/>
    </row>
    <row r="26" spans="2:5" x14ac:dyDescent="0.2">
      <c r="B26" s="12" t="s">
        <v>245</v>
      </c>
      <c r="C26" s="15">
        <f>Project!C9*C24</f>
        <v>0.36</v>
      </c>
      <c r="D26" s="14" t="s">
        <v>94</v>
      </c>
      <c r="E26" s="21"/>
    </row>
    <row r="28" spans="2:5" ht="18" thickBot="1" x14ac:dyDescent="0.25">
      <c r="B28" s="2" t="s">
        <v>44</v>
      </c>
      <c r="C28" s="2"/>
      <c r="D28" s="2"/>
      <c r="E28" s="2"/>
    </row>
    <row r="29" spans="2:5" ht="18" thickTop="1" thickBot="1" x14ac:dyDescent="0.25">
      <c r="B29" s="6" t="s">
        <v>78</v>
      </c>
      <c r="C29" s="6" t="s">
        <v>11</v>
      </c>
      <c r="D29" s="6" t="s">
        <v>12</v>
      </c>
      <c r="E29" s="6" t="s">
        <v>9</v>
      </c>
    </row>
    <row r="30" spans="2:5" ht="17" x14ac:dyDescent="0.2">
      <c r="B30" s="12" t="s">
        <v>236</v>
      </c>
      <c r="C30" s="12">
        <v>100</v>
      </c>
      <c r="D30" s="14" t="s">
        <v>7</v>
      </c>
      <c r="E30" s="7" t="s">
        <v>205</v>
      </c>
    </row>
    <row r="32" spans="2:5" ht="18" thickBot="1" x14ac:dyDescent="0.25">
      <c r="B32" s="2" t="s">
        <v>49</v>
      </c>
      <c r="C32" s="2"/>
      <c r="D32" s="2"/>
      <c r="E32" s="2"/>
    </row>
    <row r="33" spans="2:5" ht="62" customHeight="1" thickTop="1" x14ac:dyDescent="0.2">
      <c r="B33" s="34" t="s">
        <v>255</v>
      </c>
      <c r="C33" s="34"/>
      <c r="D33" s="34"/>
      <c r="E33" s="34"/>
    </row>
  </sheetData>
  <mergeCells count="3">
    <mergeCell ref="B4:E4"/>
    <mergeCell ref="B7:E7"/>
    <mergeCell ref="B33:E33"/>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E0A06-D897-F141-AA58-53227D02200F}">
  <dimension ref="A1:E38"/>
  <sheetViews>
    <sheetView zoomScaleNormal="100" workbookViewId="0">
      <selection activeCell="B38" sqref="B38:E38"/>
    </sheetView>
  </sheetViews>
  <sheetFormatPr baseColWidth="10" defaultRowHeight="16" x14ac:dyDescent="0.2"/>
  <cols>
    <col min="1" max="1" width="3.83203125" customWidth="1"/>
    <col min="2" max="2" width="20.83203125" customWidth="1"/>
    <col min="3" max="3" width="12.83203125" customWidth="1"/>
    <col min="4" max="4" width="10.83203125" customWidth="1"/>
    <col min="5" max="5" width="33.83203125" customWidth="1"/>
  </cols>
  <sheetData>
    <row r="1" spans="1:5" ht="21" thickBot="1" x14ac:dyDescent="0.3">
      <c r="A1" s="1" t="s">
        <v>57</v>
      </c>
      <c r="B1" s="1"/>
      <c r="C1" s="1"/>
      <c r="D1" s="1"/>
      <c r="E1" s="1"/>
    </row>
    <row r="2" spans="1:5" ht="17" thickTop="1" x14ac:dyDescent="0.2"/>
    <row r="3" spans="1:5" ht="18" thickBot="1" x14ac:dyDescent="0.25">
      <c r="B3" s="2" t="s">
        <v>9</v>
      </c>
      <c r="C3" s="2"/>
      <c r="D3" s="2"/>
      <c r="E3" s="2"/>
    </row>
    <row r="4" spans="1:5" ht="84" customHeight="1" thickTop="1" x14ac:dyDescent="0.2">
      <c r="B4" s="27" t="s">
        <v>58</v>
      </c>
      <c r="C4" s="27"/>
      <c r="D4" s="27"/>
      <c r="E4" s="27"/>
    </row>
    <row r="6" spans="1:5" ht="18" thickBot="1" x14ac:dyDescent="0.25">
      <c r="B6" s="2" t="s">
        <v>38</v>
      </c>
      <c r="C6" s="2"/>
      <c r="D6" s="2"/>
      <c r="E6" s="2"/>
    </row>
    <row r="7" spans="1:5" ht="17" thickTop="1" x14ac:dyDescent="0.2">
      <c r="B7" s="27" t="s">
        <v>59</v>
      </c>
      <c r="C7" s="27"/>
      <c r="D7" s="27"/>
      <c r="E7" s="27"/>
    </row>
    <row r="8" spans="1:5" x14ac:dyDescent="0.2">
      <c r="B8" s="10"/>
      <c r="C8" s="10"/>
      <c r="D8" s="10"/>
      <c r="E8" s="10"/>
    </row>
    <row r="9" spans="1:5" ht="18" thickBot="1" x14ac:dyDescent="0.25">
      <c r="B9" s="2" t="s">
        <v>0</v>
      </c>
      <c r="C9" s="2"/>
      <c r="D9" s="2"/>
      <c r="E9" s="2"/>
    </row>
    <row r="10" spans="1:5" ht="18" thickTop="1" thickBot="1" x14ac:dyDescent="0.25">
      <c r="B10" s="6" t="s">
        <v>10</v>
      </c>
      <c r="C10" s="6" t="s">
        <v>11</v>
      </c>
      <c r="D10" s="6" t="s">
        <v>12</v>
      </c>
      <c r="E10" s="6" t="s">
        <v>16</v>
      </c>
    </row>
    <row r="11" spans="1:5" x14ac:dyDescent="0.2">
      <c r="B11" s="12" t="s">
        <v>1</v>
      </c>
      <c r="C11" s="11" t="s">
        <v>2</v>
      </c>
      <c r="D11" s="12"/>
      <c r="E11" s="7"/>
    </row>
    <row r="12" spans="1:5" x14ac:dyDescent="0.2">
      <c r="B12" s="12" t="s">
        <v>62</v>
      </c>
      <c r="C12" s="11">
        <v>40</v>
      </c>
      <c r="D12" s="12" t="s">
        <v>6</v>
      </c>
      <c r="E12" s="7"/>
    </row>
    <row r="13" spans="1:5" x14ac:dyDescent="0.2">
      <c r="B13" s="12" t="s">
        <v>68</v>
      </c>
      <c r="C13" s="11">
        <v>3</v>
      </c>
      <c r="D13" s="12" t="s">
        <v>6</v>
      </c>
      <c r="E13" s="7"/>
    </row>
    <row r="14" spans="1:5" x14ac:dyDescent="0.2">
      <c r="B14" s="12" t="s">
        <v>63</v>
      </c>
      <c r="C14" s="11">
        <v>5</v>
      </c>
      <c r="D14" s="12" t="s">
        <v>6</v>
      </c>
      <c r="E14" s="7"/>
    </row>
    <row r="15" spans="1:5" x14ac:dyDescent="0.2">
      <c r="B15" s="12" t="s">
        <v>61</v>
      </c>
      <c r="C15" s="11">
        <v>0.15</v>
      </c>
      <c r="D15" s="12" t="s">
        <v>8</v>
      </c>
      <c r="E15" s="7"/>
    </row>
    <row r="16" spans="1:5" x14ac:dyDescent="0.2">
      <c r="B16" s="12"/>
      <c r="C16" s="12"/>
      <c r="D16" s="12"/>
    </row>
    <row r="17" spans="2:5" ht="18" thickBot="1" x14ac:dyDescent="0.25">
      <c r="B17" s="2" t="s">
        <v>20</v>
      </c>
      <c r="C17" s="2"/>
      <c r="D17" s="2"/>
      <c r="E17" s="2"/>
    </row>
    <row r="18" spans="2:5" ht="18" thickTop="1" thickBot="1" x14ac:dyDescent="0.25">
      <c r="B18" s="6" t="s">
        <v>33</v>
      </c>
      <c r="C18" s="6" t="s">
        <v>34</v>
      </c>
      <c r="D18" s="6"/>
      <c r="E18" s="6" t="s">
        <v>9</v>
      </c>
    </row>
    <row r="19" spans="2:5" ht="34" x14ac:dyDescent="0.2">
      <c r="B19" s="11" t="s">
        <v>64</v>
      </c>
      <c r="C19" s="13" t="b">
        <f>C12&gt;Project!C8</f>
        <v>1</v>
      </c>
      <c r="E19" s="7" t="s">
        <v>67</v>
      </c>
    </row>
    <row r="20" spans="2:5" ht="34" x14ac:dyDescent="0.2">
      <c r="B20" s="11" t="s">
        <v>65</v>
      </c>
      <c r="C20" s="13" t="b">
        <f>C13&lt;Project!C9</f>
        <v>1</v>
      </c>
      <c r="E20" s="7" t="s">
        <v>66</v>
      </c>
    </row>
    <row r="21" spans="2:5" ht="17" x14ac:dyDescent="0.2">
      <c r="B21" s="11" t="s">
        <v>72</v>
      </c>
      <c r="C21" s="31" t="b">
        <f>C15&gt;PIC18F16Q40!C14</f>
        <v>0</v>
      </c>
      <c r="D21" s="32"/>
      <c r="E21" s="33" t="s">
        <v>73</v>
      </c>
    </row>
    <row r="22" spans="2:5" ht="34" x14ac:dyDescent="0.2">
      <c r="B22" s="11" t="s">
        <v>76</v>
      </c>
      <c r="C22" s="13" t="b">
        <f>C30&gt;Project!C8</f>
        <v>1</v>
      </c>
      <c r="E22" s="7" t="s">
        <v>75</v>
      </c>
    </row>
    <row r="23" spans="2:5" ht="34" x14ac:dyDescent="0.2">
      <c r="B23" s="11" t="s">
        <v>77</v>
      </c>
      <c r="C23" s="13" t="b">
        <f>C32&gt;C14</f>
        <v>1</v>
      </c>
      <c r="E23" s="7" t="s">
        <v>75</v>
      </c>
    </row>
    <row r="25" spans="2:5" ht="18" thickBot="1" x14ac:dyDescent="0.25">
      <c r="B25" s="2" t="s">
        <v>15</v>
      </c>
      <c r="C25" s="2"/>
      <c r="D25" s="2"/>
      <c r="E25" s="2"/>
    </row>
    <row r="26" spans="2:5" ht="18" thickTop="1" thickBot="1" x14ac:dyDescent="0.25">
      <c r="B26" s="6" t="s">
        <v>45</v>
      </c>
      <c r="C26" s="6" t="s">
        <v>40</v>
      </c>
      <c r="D26" s="6" t="s">
        <v>12</v>
      </c>
      <c r="E26" s="6" t="s">
        <v>9</v>
      </c>
    </row>
    <row r="28" spans="2:5" ht="18" thickBot="1" x14ac:dyDescent="0.25">
      <c r="B28" s="2" t="s">
        <v>44</v>
      </c>
      <c r="C28" s="2"/>
      <c r="D28" s="2"/>
      <c r="E28" s="2"/>
    </row>
    <row r="29" spans="2:5" ht="18" thickTop="1" thickBot="1" x14ac:dyDescent="0.25">
      <c r="B29" s="6" t="s">
        <v>79</v>
      </c>
      <c r="C29" s="6" t="s">
        <v>11</v>
      </c>
      <c r="D29" s="6" t="s">
        <v>12</v>
      </c>
      <c r="E29" s="6" t="s">
        <v>9</v>
      </c>
    </row>
    <row r="30" spans="2:5" ht="17" x14ac:dyDescent="0.2">
      <c r="B30" s="12" t="s">
        <v>232</v>
      </c>
      <c r="C30" s="12">
        <v>50</v>
      </c>
      <c r="D30" s="14" t="s">
        <v>6</v>
      </c>
      <c r="E30" s="7" t="s">
        <v>74</v>
      </c>
    </row>
    <row r="31" spans="2:5" ht="17" x14ac:dyDescent="0.2">
      <c r="B31" s="12" t="s">
        <v>232</v>
      </c>
      <c r="C31" s="12">
        <v>1.0000000000000001E-5</v>
      </c>
      <c r="D31" s="14" t="s">
        <v>192</v>
      </c>
      <c r="E31" s="7" t="s">
        <v>74</v>
      </c>
    </row>
    <row r="32" spans="2:5" ht="17" x14ac:dyDescent="0.2">
      <c r="B32" s="12" t="s">
        <v>233</v>
      </c>
      <c r="C32" s="12">
        <v>50</v>
      </c>
      <c r="D32" s="14" t="s">
        <v>6</v>
      </c>
      <c r="E32" s="7" t="s">
        <v>74</v>
      </c>
    </row>
    <row r="33" spans="2:5" ht="17" x14ac:dyDescent="0.2">
      <c r="B33" s="12" t="s">
        <v>233</v>
      </c>
      <c r="C33" s="12">
        <v>1.0000000000000001E-5</v>
      </c>
      <c r="D33" s="14" t="s">
        <v>192</v>
      </c>
      <c r="E33" s="7" t="s">
        <v>74</v>
      </c>
    </row>
    <row r="34" spans="2:5" ht="17" x14ac:dyDescent="0.2">
      <c r="B34" s="12" t="s">
        <v>257</v>
      </c>
      <c r="C34" s="12">
        <v>1</v>
      </c>
      <c r="D34" s="14" t="s">
        <v>8</v>
      </c>
      <c r="E34" s="7" t="s">
        <v>258</v>
      </c>
    </row>
    <row r="36" spans="2:5" ht="18" thickBot="1" x14ac:dyDescent="0.25">
      <c r="B36" s="2" t="s">
        <v>49</v>
      </c>
      <c r="C36" s="2"/>
      <c r="D36" s="2"/>
      <c r="E36" s="2"/>
    </row>
    <row r="37" spans="2:5" ht="17" thickTop="1" x14ac:dyDescent="0.2">
      <c r="B37" t="s">
        <v>60</v>
      </c>
    </row>
    <row r="38" spans="2:5" ht="32" customHeight="1" x14ac:dyDescent="0.2">
      <c r="B38" s="28" t="s">
        <v>265</v>
      </c>
      <c r="C38" s="28"/>
      <c r="D38" s="28"/>
      <c r="E38" s="28"/>
    </row>
  </sheetData>
  <mergeCells count="3">
    <mergeCell ref="B4:E4"/>
    <mergeCell ref="B7:E7"/>
    <mergeCell ref="B38:E38"/>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3005-C33F-734C-A841-38A3BF6EBFF8}">
  <dimension ref="A1:E54"/>
  <sheetViews>
    <sheetView topLeftCell="A11" workbookViewId="0">
      <selection activeCell="E29" sqref="E29"/>
    </sheetView>
  </sheetViews>
  <sheetFormatPr baseColWidth="10" defaultRowHeight="16" x14ac:dyDescent="0.2"/>
  <cols>
    <col min="1" max="1" width="3.83203125" customWidth="1"/>
    <col min="2" max="2" width="20.83203125" customWidth="1"/>
    <col min="3" max="3" width="12.83203125" customWidth="1"/>
    <col min="4" max="4" width="10.83203125" customWidth="1"/>
    <col min="5" max="5" width="33.83203125" customWidth="1"/>
  </cols>
  <sheetData>
    <row r="1" spans="1:5" ht="21" thickBot="1" x14ac:dyDescent="0.3">
      <c r="A1" s="1" t="s">
        <v>41</v>
      </c>
      <c r="B1" s="1"/>
      <c r="C1" s="1"/>
      <c r="D1" s="1"/>
      <c r="E1" s="1"/>
    </row>
    <row r="2" spans="1:5" ht="17" thickTop="1" x14ac:dyDescent="0.2"/>
    <row r="3" spans="1:5" ht="18" thickBot="1" x14ac:dyDescent="0.25">
      <c r="B3" s="2" t="s">
        <v>9</v>
      </c>
      <c r="C3" s="2"/>
      <c r="D3" s="2"/>
      <c r="E3" s="2"/>
    </row>
    <row r="4" spans="1:5" ht="17" thickTop="1" x14ac:dyDescent="0.2">
      <c r="B4" s="27" t="s">
        <v>113</v>
      </c>
      <c r="C4" s="27"/>
      <c r="D4" s="27"/>
      <c r="E4" s="27"/>
    </row>
    <row r="6" spans="1:5" ht="18" thickBot="1" x14ac:dyDescent="0.25">
      <c r="B6" s="2" t="s">
        <v>38</v>
      </c>
      <c r="C6" s="2"/>
      <c r="D6" s="2"/>
      <c r="E6" s="2"/>
    </row>
    <row r="7" spans="1:5" ht="17" thickTop="1" x14ac:dyDescent="0.2">
      <c r="B7" s="27" t="s">
        <v>42</v>
      </c>
      <c r="C7" s="27"/>
      <c r="D7" s="27"/>
      <c r="E7" s="27"/>
    </row>
    <row r="8" spans="1:5" x14ac:dyDescent="0.2">
      <c r="B8" s="10"/>
      <c r="C8" s="10"/>
      <c r="D8" s="10"/>
      <c r="E8" s="10"/>
    </row>
    <row r="9" spans="1:5" ht="18" thickBot="1" x14ac:dyDescent="0.25">
      <c r="B9" s="2" t="s">
        <v>0</v>
      </c>
      <c r="C9" s="2"/>
      <c r="D9" s="2"/>
      <c r="E9" s="2"/>
    </row>
    <row r="10" spans="1:5" ht="18" thickTop="1" thickBot="1" x14ac:dyDescent="0.25">
      <c r="B10" s="6" t="s">
        <v>10</v>
      </c>
      <c r="C10" s="6" t="s">
        <v>11</v>
      </c>
      <c r="D10" s="6" t="s">
        <v>12</v>
      </c>
      <c r="E10" s="6" t="s">
        <v>16</v>
      </c>
    </row>
    <row r="11" spans="1:5" x14ac:dyDescent="0.2">
      <c r="B11" t="s">
        <v>109</v>
      </c>
      <c r="C11" s="4">
        <v>2.5000000000000001E-2</v>
      </c>
      <c r="D11" t="s">
        <v>8</v>
      </c>
      <c r="E11" t="s">
        <v>70</v>
      </c>
    </row>
    <row r="12" spans="1:5" x14ac:dyDescent="0.2">
      <c r="B12" t="s">
        <v>110</v>
      </c>
      <c r="C12" s="5">
        <v>7.0000000000000007E-2</v>
      </c>
      <c r="D12" t="s">
        <v>8</v>
      </c>
      <c r="E12" t="s">
        <v>70</v>
      </c>
    </row>
    <row r="13" spans="1:5" x14ac:dyDescent="0.2">
      <c r="B13" t="s">
        <v>18</v>
      </c>
      <c r="C13" s="4">
        <v>2.5</v>
      </c>
      <c r="D13" t="s">
        <v>6</v>
      </c>
      <c r="E13" t="s">
        <v>70</v>
      </c>
    </row>
    <row r="14" spans="1:5" x14ac:dyDescent="0.2">
      <c r="B14" t="s">
        <v>69</v>
      </c>
      <c r="C14" s="4">
        <v>0.19</v>
      </c>
      <c r="D14" s="3" t="s">
        <v>8</v>
      </c>
      <c r="E14" t="s">
        <v>70</v>
      </c>
    </row>
    <row r="15" spans="1:5" x14ac:dyDescent="0.2">
      <c r="B15" t="s">
        <v>111</v>
      </c>
      <c r="C15" s="8">
        <v>1.8</v>
      </c>
      <c r="D15" t="s">
        <v>6</v>
      </c>
      <c r="E15" t="s">
        <v>81</v>
      </c>
    </row>
    <row r="16" spans="1:5" x14ac:dyDescent="0.2">
      <c r="B16" t="s">
        <v>112</v>
      </c>
      <c r="C16" s="8">
        <v>5.5</v>
      </c>
      <c r="D16" t="s">
        <v>6</v>
      </c>
      <c r="E16" t="s">
        <v>81</v>
      </c>
    </row>
    <row r="17" spans="2:5" x14ac:dyDescent="0.2">
      <c r="B17" t="s">
        <v>85</v>
      </c>
      <c r="C17" s="8">
        <v>0.8</v>
      </c>
      <c r="D17" t="s">
        <v>6</v>
      </c>
      <c r="E17" t="s">
        <v>86</v>
      </c>
    </row>
    <row r="18" spans="2:5" x14ac:dyDescent="0.2">
      <c r="B18" t="s">
        <v>83</v>
      </c>
      <c r="C18" s="8">
        <v>2</v>
      </c>
      <c r="D18" s="3" t="s">
        <v>6</v>
      </c>
      <c r="E18" t="s">
        <v>84</v>
      </c>
    </row>
    <row r="19" spans="2:5" x14ac:dyDescent="0.2">
      <c r="B19" t="s">
        <v>89</v>
      </c>
      <c r="C19" s="8">
        <v>0.3</v>
      </c>
      <c r="D19" s="3" t="s">
        <v>6</v>
      </c>
      <c r="E19" t="s">
        <v>70</v>
      </c>
    </row>
    <row r="21" spans="2:5" ht="18" thickBot="1" x14ac:dyDescent="0.25">
      <c r="B21" s="2" t="s">
        <v>20</v>
      </c>
      <c r="C21" s="2"/>
      <c r="D21" s="2"/>
      <c r="E21" s="2"/>
    </row>
    <row r="22" spans="2:5" ht="18" thickTop="1" thickBot="1" x14ac:dyDescent="0.25">
      <c r="B22" s="6" t="s">
        <v>33</v>
      </c>
      <c r="C22" s="6" t="s">
        <v>34</v>
      </c>
      <c r="D22" s="6"/>
      <c r="E22" s="6" t="s">
        <v>9</v>
      </c>
    </row>
    <row r="23" spans="2:5" ht="34" x14ac:dyDescent="0.2">
      <c r="B23" t="s">
        <v>82</v>
      </c>
      <c r="C23" t="b">
        <f>C42=Project!C10</f>
        <v>1</v>
      </c>
      <c r="E23" s="7" t="s">
        <v>92</v>
      </c>
    </row>
    <row r="24" spans="2:5" ht="17" x14ac:dyDescent="0.2">
      <c r="B24" t="s">
        <v>105</v>
      </c>
      <c r="C24" t="b">
        <f>C15&lt;C42</f>
        <v>1</v>
      </c>
      <c r="E24" s="7" t="s">
        <v>93</v>
      </c>
    </row>
    <row r="25" spans="2:5" ht="17" x14ac:dyDescent="0.2">
      <c r="B25" t="s">
        <v>106</v>
      </c>
      <c r="C25" t="b">
        <f>C16&gt;C42</f>
        <v>1</v>
      </c>
      <c r="E25" s="7" t="s">
        <v>93</v>
      </c>
    </row>
    <row r="26" spans="2:5" ht="51" x14ac:dyDescent="0.2">
      <c r="B26" s="12" t="s">
        <v>107</v>
      </c>
      <c r="C26" s="15" t="b">
        <f>C18&lt;((Project!C9*C44)/(C43+C44))</f>
        <v>1</v>
      </c>
      <c r="D26" s="12"/>
      <c r="E26" s="21" t="s">
        <v>100</v>
      </c>
    </row>
    <row r="27" spans="2:5" ht="34" x14ac:dyDescent="0.2">
      <c r="B27" s="21" t="s">
        <v>262</v>
      </c>
      <c r="C27" s="15" t="b">
        <f>C36&lt;(1/8)</f>
        <v>1</v>
      </c>
      <c r="D27" s="12"/>
      <c r="E27" s="21" t="s">
        <v>99</v>
      </c>
    </row>
    <row r="28" spans="2:5" ht="34" x14ac:dyDescent="0.2">
      <c r="B28" s="12" t="s">
        <v>108</v>
      </c>
      <c r="C28" s="22" t="b">
        <f>C34&gt;Project!C8</f>
        <v>0</v>
      </c>
      <c r="D28" s="12"/>
      <c r="E28" s="23" t="s">
        <v>103</v>
      </c>
    </row>
    <row r="29" spans="2:5" ht="34" x14ac:dyDescent="0.2">
      <c r="B29" s="12" t="s">
        <v>268</v>
      </c>
      <c r="C29" s="25" t="b">
        <f>C12&gt;C38</f>
        <v>1</v>
      </c>
      <c r="D29" s="12"/>
      <c r="E29" s="26" t="s">
        <v>269</v>
      </c>
    </row>
    <row r="31" spans="2:5" ht="18" thickBot="1" x14ac:dyDescent="0.25">
      <c r="B31" s="2" t="s">
        <v>15</v>
      </c>
      <c r="C31" s="2"/>
      <c r="D31" s="2"/>
      <c r="E31" s="2"/>
    </row>
    <row r="32" spans="2:5" ht="18" thickTop="1" thickBot="1" x14ac:dyDescent="0.25">
      <c r="B32" s="6" t="s">
        <v>11</v>
      </c>
      <c r="C32" s="6" t="s">
        <v>40</v>
      </c>
      <c r="D32" s="6"/>
      <c r="E32" s="6" t="s">
        <v>9</v>
      </c>
    </row>
    <row r="33" spans="2:5" x14ac:dyDescent="0.2">
      <c r="B33" t="s">
        <v>88</v>
      </c>
      <c r="C33">
        <f>C44*(-1 + (Project!C9/(C18)))</f>
        <v>9400</v>
      </c>
      <c r="D33" s="14" t="s">
        <v>7</v>
      </c>
      <c r="E33" t="s">
        <v>90</v>
      </c>
    </row>
    <row r="34" spans="2:5" ht="34" x14ac:dyDescent="0.2">
      <c r="B34" s="12" t="s">
        <v>104</v>
      </c>
      <c r="C34" s="20">
        <f>(Project!C10+C19)*(C43+C44)/C44</f>
        <v>15.561702127659574</v>
      </c>
      <c r="D34" s="12" t="s">
        <v>6</v>
      </c>
      <c r="E34" s="7" t="s">
        <v>91</v>
      </c>
    </row>
    <row r="35" spans="2:5" ht="34" x14ac:dyDescent="0.2">
      <c r="B35" s="12" t="s">
        <v>96</v>
      </c>
      <c r="C35" s="19">
        <f>C34/(C43+C44)</f>
        <v>1.1276595744680851E-3</v>
      </c>
      <c r="D35" s="12" t="s">
        <v>8</v>
      </c>
      <c r="E35" s="7" t="s">
        <v>97</v>
      </c>
    </row>
    <row r="36" spans="2:5" ht="34" x14ac:dyDescent="0.2">
      <c r="B36" s="12" t="s">
        <v>95</v>
      </c>
      <c r="C36" s="19">
        <f>C34*C35</f>
        <v>1.7548302399275691E-2</v>
      </c>
      <c r="D36" s="12" t="s">
        <v>94</v>
      </c>
      <c r="E36" s="7" t="s">
        <v>98</v>
      </c>
    </row>
    <row r="37" spans="2:5" ht="34" x14ac:dyDescent="0.2">
      <c r="B37" s="35" t="s">
        <v>260</v>
      </c>
      <c r="C37" s="24">
        <f>(((Project!C8*C43)/(C43+C44))-Project!C10)/C43</f>
        <v>1.6244624940277117E-3</v>
      </c>
      <c r="D37" s="12" t="s">
        <v>8</v>
      </c>
      <c r="E37" s="7" t="s">
        <v>261</v>
      </c>
    </row>
    <row r="38" spans="2:5" ht="34" x14ac:dyDescent="0.2">
      <c r="B38" s="35" t="s">
        <v>266</v>
      </c>
      <c r="C38" s="24">
        <f>'2N7002'!C31+(2*'DMN6140'!C28) + (2*DTC143ZCA!C14)</f>
        <v>6.2423529411764704E-2</v>
      </c>
      <c r="D38" s="12" t="s">
        <v>8</v>
      </c>
      <c r="E38" s="7" t="s">
        <v>267</v>
      </c>
    </row>
    <row r="40" spans="2:5" ht="18" thickBot="1" x14ac:dyDescent="0.25">
      <c r="B40" s="2" t="s">
        <v>44</v>
      </c>
      <c r="C40" s="2"/>
      <c r="D40" s="2"/>
      <c r="E40" s="2"/>
    </row>
    <row r="41" spans="2:5" ht="18" thickTop="1" thickBot="1" x14ac:dyDescent="0.25">
      <c r="B41" s="6" t="s">
        <v>78</v>
      </c>
      <c r="C41" s="6" t="s">
        <v>11</v>
      </c>
      <c r="D41" s="6" t="s">
        <v>12</v>
      </c>
      <c r="E41" s="6" t="s">
        <v>9</v>
      </c>
    </row>
    <row r="42" spans="2:5" ht="17" x14ac:dyDescent="0.2">
      <c r="B42" s="12" t="s">
        <v>80</v>
      </c>
      <c r="C42" s="12">
        <v>5</v>
      </c>
      <c r="D42" s="14" t="s">
        <v>6</v>
      </c>
      <c r="E42" s="7" t="s">
        <v>87</v>
      </c>
    </row>
    <row r="43" spans="2:5" ht="17" x14ac:dyDescent="0.2">
      <c r="B43" s="12" t="s">
        <v>178</v>
      </c>
      <c r="C43" s="12">
        <v>9100</v>
      </c>
      <c r="D43" s="14" t="s">
        <v>7</v>
      </c>
      <c r="E43" s="7" t="s">
        <v>230</v>
      </c>
    </row>
    <row r="44" spans="2:5" ht="17" x14ac:dyDescent="0.2">
      <c r="B44" s="12" t="s">
        <v>179</v>
      </c>
      <c r="C44" s="12">
        <v>4700</v>
      </c>
      <c r="D44" s="14" t="s">
        <v>7</v>
      </c>
      <c r="E44" s="7" t="s">
        <v>114</v>
      </c>
    </row>
    <row r="45" spans="2:5" ht="17" x14ac:dyDescent="0.2">
      <c r="B45" s="12" t="s">
        <v>188</v>
      </c>
      <c r="C45" s="12">
        <v>9100</v>
      </c>
      <c r="D45" s="14" t="s">
        <v>7</v>
      </c>
      <c r="E45" s="21" t="s">
        <v>191</v>
      </c>
    </row>
    <row r="46" spans="2:5" ht="34" x14ac:dyDescent="0.2">
      <c r="B46" s="12" t="s">
        <v>189</v>
      </c>
      <c r="C46" s="12">
        <f>'2N7002'!C35</f>
        <v>680</v>
      </c>
      <c r="D46" s="14" t="s">
        <v>7</v>
      </c>
      <c r="E46" s="7" t="s">
        <v>161</v>
      </c>
    </row>
    <row r="47" spans="2:5" ht="17" x14ac:dyDescent="0.2">
      <c r="B47" s="12" t="s">
        <v>256</v>
      </c>
      <c r="C47" s="12">
        <v>1</v>
      </c>
      <c r="D47" s="14" t="s">
        <v>8</v>
      </c>
      <c r="E47" s="7" t="s">
        <v>259</v>
      </c>
    </row>
    <row r="48" spans="2:5" ht="17" x14ac:dyDescent="0.2">
      <c r="B48" s="12" t="s">
        <v>193</v>
      </c>
      <c r="C48" s="12">
        <v>9.9999999999999995E-8</v>
      </c>
      <c r="D48" s="14" t="s">
        <v>192</v>
      </c>
      <c r="E48" s="21" t="s">
        <v>194</v>
      </c>
    </row>
    <row r="49" spans="2:5" ht="17" x14ac:dyDescent="0.2">
      <c r="B49" s="12" t="s">
        <v>190</v>
      </c>
      <c r="C49" s="12">
        <v>9.9999999999999995E-8</v>
      </c>
      <c r="D49" s="14" t="s">
        <v>192</v>
      </c>
      <c r="E49" s="21" t="s">
        <v>195</v>
      </c>
    </row>
    <row r="51" spans="2:5" x14ac:dyDescent="0.2">
      <c r="B51" t="s">
        <v>71</v>
      </c>
    </row>
    <row r="53" spans="2:5" ht="18" thickBot="1" x14ac:dyDescent="0.25">
      <c r="B53" s="2" t="s">
        <v>49</v>
      </c>
      <c r="C53" s="2"/>
      <c r="D53" s="2"/>
      <c r="E53" s="2"/>
    </row>
    <row r="54" spans="2:5" ht="114" customHeight="1" thickTop="1" x14ac:dyDescent="0.2">
      <c r="B54" s="28" t="s">
        <v>264</v>
      </c>
      <c r="C54" s="28"/>
      <c r="D54" s="28"/>
      <c r="E54" s="28"/>
    </row>
  </sheetData>
  <mergeCells count="3">
    <mergeCell ref="B4:E4"/>
    <mergeCell ref="B7:E7"/>
    <mergeCell ref="B54:E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E15B-75F4-E24A-B8FB-8C553145EEA9}">
  <dimension ref="A1:E38"/>
  <sheetViews>
    <sheetView topLeftCell="A5" zoomScaleNormal="100" workbookViewId="0">
      <selection activeCell="C36" sqref="C36"/>
    </sheetView>
  </sheetViews>
  <sheetFormatPr baseColWidth="10" defaultRowHeight="16" x14ac:dyDescent="0.2"/>
  <cols>
    <col min="1" max="1" width="3.83203125" customWidth="1"/>
    <col min="2" max="2" width="20.83203125" customWidth="1"/>
    <col min="3" max="3" width="12.83203125" customWidth="1"/>
    <col min="4" max="4" width="10.83203125" customWidth="1"/>
    <col min="5" max="5" width="33.83203125" customWidth="1"/>
  </cols>
  <sheetData>
    <row r="1" spans="1:5" ht="21" thickBot="1" x14ac:dyDescent="0.3">
      <c r="A1" s="1" t="s">
        <v>13</v>
      </c>
      <c r="B1" s="1"/>
      <c r="C1" s="1"/>
      <c r="D1" s="1"/>
      <c r="E1" s="1"/>
    </row>
    <row r="2" spans="1:5" ht="17" thickTop="1" x14ac:dyDescent="0.2"/>
    <row r="3" spans="1:5" ht="18" thickBot="1" x14ac:dyDescent="0.25">
      <c r="B3" s="2" t="s">
        <v>9</v>
      </c>
      <c r="C3" s="2"/>
      <c r="D3" s="2"/>
      <c r="E3" s="2"/>
    </row>
    <row r="4" spans="1:5" ht="84" customHeight="1" thickTop="1" x14ac:dyDescent="0.2">
      <c r="B4" s="27" t="s">
        <v>14</v>
      </c>
      <c r="C4" s="27"/>
      <c r="D4" s="27"/>
      <c r="E4" s="27"/>
    </row>
    <row r="6" spans="1:5" ht="18" thickBot="1" x14ac:dyDescent="0.25">
      <c r="B6" s="2" t="s">
        <v>38</v>
      </c>
      <c r="C6" s="2"/>
      <c r="D6" s="2"/>
      <c r="E6" s="2"/>
    </row>
    <row r="7" spans="1:5" ht="17" thickTop="1" x14ac:dyDescent="0.2">
      <c r="B7" s="27" t="s">
        <v>39</v>
      </c>
      <c r="C7" s="27"/>
      <c r="D7" s="27"/>
      <c r="E7" s="27"/>
    </row>
    <row r="8" spans="1:5" x14ac:dyDescent="0.2">
      <c r="B8" s="10"/>
      <c r="C8" s="10"/>
      <c r="D8" s="10"/>
      <c r="E8" s="10"/>
    </row>
    <row r="9" spans="1:5" ht="18" thickBot="1" x14ac:dyDescent="0.25">
      <c r="B9" s="2" t="s">
        <v>0</v>
      </c>
      <c r="C9" s="2"/>
      <c r="D9" s="2"/>
      <c r="E9" s="2"/>
    </row>
    <row r="10" spans="1:5" ht="18" thickTop="1" thickBot="1" x14ac:dyDescent="0.25">
      <c r="B10" s="6" t="s">
        <v>10</v>
      </c>
      <c r="C10" s="6" t="s">
        <v>11</v>
      </c>
      <c r="D10" s="6" t="s">
        <v>12</v>
      </c>
      <c r="E10" s="6" t="s">
        <v>16</v>
      </c>
    </row>
    <row r="11" spans="1:5" x14ac:dyDescent="0.2">
      <c r="B11" s="12" t="s">
        <v>1</v>
      </c>
      <c r="C11" s="11" t="s">
        <v>2</v>
      </c>
      <c r="D11" s="12"/>
      <c r="E11" s="7"/>
    </row>
    <row r="12" spans="1:5" x14ac:dyDescent="0.2">
      <c r="B12" s="12" t="s">
        <v>3</v>
      </c>
      <c r="C12" s="11">
        <v>60</v>
      </c>
      <c r="D12" s="12" t="s">
        <v>6</v>
      </c>
      <c r="E12" s="7"/>
    </row>
    <row r="13" spans="1:5" x14ac:dyDescent="0.2">
      <c r="B13" s="12" t="s">
        <v>18</v>
      </c>
      <c r="C13" s="11">
        <v>2.5</v>
      </c>
      <c r="D13" s="12" t="s">
        <v>6</v>
      </c>
      <c r="E13" s="7"/>
    </row>
    <row r="14" spans="1:5" ht="17" x14ac:dyDescent="0.2">
      <c r="B14" s="12" t="s">
        <v>4</v>
      </c>
      <c r="C14" s="11">
        <v>2.5</v>
      </c>
      <c r="D14" s="14" t="s">
        <v>7</v>
      </c>
      <c r="E14" s="7" t="s">
        <v>29</v>
      </c>
    </row>
    <row r="15" spans="1:5" ht="17" x14ac:dyDescent="0.2">
      <c r="B15" s="12" t="s">
        <v>5</v>
      </c>
      <c r="C15" s="16">
        <v>0.115</v>
      </c>
      <c r="D15" s="12" t="s">
        <v>8</v>
      </c>
      <c r="E15" s="7" t="s">
        <v>28</v>
      </c>
    </row>
    <row r="16" spans="1:5" ht="17" x14ac:dyDescent="0.2">
      <c r="B16" s="12" t="s">
        <v>17</v>
      </c>
      <c r="C16" s="17">
        <v>4.9999999999999998E-8</v>
      </c>
      <c r="D16" s="12" t="s">
        <v>129</v>
      </c>
      <c r="E16" s="7" t="s">
        <v>29</v>
      </c>
    </row>
    <row r="17" spans="2:5" ht="17" x14ac:dyDescent="0.2">
      <c r="B17" s="12" t="s">
        <v>19</v>
      </c>
      <c r="C17" s="18">
        <v>120</v>
      </c>
      <c r="D17" s="14" t="s">
        <v>7</v>
      </c>
      <c r="E17" s="7" t="s">
        <v>29</v>
      </c>
    </row>
    <row r="18" spans="2:5" x14ac:dyDescent="0.2">
      <c r="B18" s="12"/>
      <c r="C18" s="12"/>
      <c r="D18" s="12"/>
    </row>
    <row r="19" spans="2:5" ht="18" thickBot="1" x14ac:dyDescent="0.25">
      <c r="B19" s="2" t="s">
        <v>20</v>
      </c>
      <c r="C19" s="2"/>
      <c r="D19" s="2"/>
      <c r="E19" s="2"/>
    </row>
    <row r="20" spans="2:5" ht="18" thickTop="1" thickBot="1" x14ac:dyDescent="0.25">
      <c r="B20" s="6" t="s">
        <v>33</v>
      </c>
      <c r="C20" s="6" t="s">
        <v>34</v>
      </c>
      <c r="D20" s="6"/>
      <c r="E20" s="6" t="s">
        <v>9</v>
      </c>
    </row>
    <row r="21" spans="2:5" ht="34" x14ac:dyDescent="0.2">
      <c r="B21" s="11" t="s">
        <v>27</v>
      </c>
      <c r="C21" s="13" t="b">
        <f>C12&gt;Project!C8</f>
        <v>1</v>
      </c>
      <c r="E21" s="7" t="s">
        <v>35</v>
      </c>
    </row>
    <row r="22" spans="2:5" ht="34" x14ac:dyDescent="0.2">
      <c r="B22" s="11" t="s">
        <v>32</v>
      </c>
      <c r="C22" s="13" t="b">
        <f>C13&lt;Project!C10</f>
        <v>1</v>
      </c>
      <c r="E22" s="7" t="s">
        <v>36</v>
      </c>
    </row>
    <row r="23" spans="2:5" ht="34" x14ac:dyDescent="0.2">
      <c r="B23" s="11" t="s">
        <v>31</v>
      </c>
      <c r="C23" s="13" t="b">
        <f>C15&gt;Project!C11</f>
        <v>1</v>
      </c>
      <c r="E23" s="7" t="s">
        <v>37</v>
      </c>
    </row>
    <row r="24" spans="2:5" ht="34" x14ac:dyDescent="0.2">
      <c r="B24" s="11" t="s">
        <v>51</v>
      </c>
      <c r="C24" s="13" t="b">
        <f>C30&lt;PIC18F16Q40!B11</f>
        <v>1</v>
      </c>
      <c r="E24" s="7" t="s">
        <v>52</v>
      </c>
    </row>
    <row r="25" spans="2:5" ht="34" x14ac:dyDescent="0.2">
      <c r="B25" s="11" t="s">
        <v>54</v>
      </c>
      <c r="C25" s="13" t="b">
        <f>C31&lt;PIC18F16Q40!C12</f>
        <v>1</v>
      </c>
      <c r="E25" s="7" t="s">
        <v>56</v>
      </c>
    </row>
    <row r="27" spans="2:5" ht="18" thickBot="1" x14ac:dyDescent="0.25">
      <c r="B27" s="2" t="s">
        <v>15</v>
      </c>
      <c r="C27" s="2"/>
      <c r="D27" s="2"/>
      <c r="E27" s="2"/>
    </row>
    <row r="28" spans="2:5" ht="18" thickTop="1" thickBot="1" x14ac:dyDescent="0.25">
      <c r="B28" s="6" t="s">
        <v>45</v>
      </c>
      <c r="C28" s="6" t="s">
        <v>40</v>
      </c>
      <c r="D28" s="6" t="s">
        <v>12</v>
      </c>
      <c r="E28" s="6" t="s">
        <v>9</v>
      </c>
    </row>
    <row r="29" spans="2:5" ht="17" x14ac:dyDescent="0.2">
      <c r="B29" s="12" t="s">
        <v>46</v>
      </c>
      <c r="C29" s="12">
        <f>Project!C10/PIC18F16Q40!C11</f>
        <v>200</v>
      </c>
      <c r="D29" s="14" t="s">
        <v>7</v>
      </c>
      <c r="E29" s="7" t="s">
        <v>43</v>
      </c>
    </row>
    <row r="30" spans="2:5" ht="17" x14ac:dyDescent="0.2">
      <c r="B30" s="12" t="s">
        <v>47</v>
      </c>
      <c r="C30" s="15">
        <f>Project!C10/C35</f>
        <v>7.3529411764705881E-3</v>
      </c>
      <c r="D30" s="14" t="s">
        <v>8</v>
      </c>
      <c r="E30" s="7" t="s">
        <v>48</v>
      </c>
    </row>
    <row r="31" spans="2:5" ht="17" customHeight="1" x14ac:dyDescent="0.2">
      <c r="B31" s="12" t="s">
        <v>53</v>
      </c>
      <c r="C31" s="15">
        <f>C30*6</f>
        <v>4.4117647058823525E-2</v>
      </c>
      <c r="D31" s="14" t="s">
        <v>8</v>
      </c>
      <c r="E31" s="7" t="s">
        <v>50</v>
      </c>
    </row>
    <row r="33" spans="2:5" ht="18" thickBot="1" x14ac:dyDescent="0.25">
      <c r="B33" s="2" t="s">
        <v>44</v>
      </c>
      <c r="C33" s="2"/>
      <c r="D33" s="2"/>
      <c r="E33" s="2"/>
    </row>
    <row r="34" spans="2:5" ht="18" thickTop="1" thickBot="1" x14ac:dyDescent="0.25">
      <c r="B34" s="6" t="s">
        <v>78</v>
      </c>
      <c r="C34" s="6" t="s">
        <v>11</v>
      </c>
      <c r="D34" s="6" t="s">
        <v>12</v>
      </c>
      <c r="E34" s="6" t="s">
        <v>9</v>
      </c>
    </row>
    <row r="35" spans="2:5" ht="17" x14ac:dyDescent="0.2">
      <c r="B35" s="12" t="s">
        <v>175</v>
      </c>
      <c r="C35" s="12">
        <v>680</v>
      </c>
      <c r="D35" s="14" t="s">
        <v>7</v>
      </c>
      <c r="E35" s="7" t="s">
        <v>55</v>
      </c>
    </row>
    <row r="37" spans="2:5" ht="18" thickBot="1" x14ac:dyDescent="0.25">
      <c r="B37" s="2" t="s">
        <v>49</v>
      </c>
      <c r="C37" s="2"/>
      <c r="D37" s="2"/>
      <c r="E37" s="2"/>
    </row>
    <row r="38" spans="2:5" ht="17" thickTop="1" x14ac:dyDescent="0.2"/>
  </sheetData>
  <mergeCells count="2">
    <mergeCell ref="B4:E4"/>
    <mergeCell ref="B7:E7"/>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3958-5D20-7541-93F3-30E9F3216582}">
  <dimension ref="A1:E31"/>
  <sheetViews>
    <sheetView zoomScaleNormal="100" workbookViewId="0">
      <selection activeCell="E28" sqref="E28"/>
    </sheetView>
  </sheetViews>
  <sheetFormatPr baseColWidth="10" defaultRowHeight="16" x14ac:dyDescent="0.2"/>
  <cols>
    <col min="1" max="1" width="3.83203125" customWidth="1"/>
    <col min="2" max="2" width="20.83203125" customWidth="1"/>
    <col min="3" max="3" width="12.83203125" customWidth="1"/>
    <col min="4" max="4" width="10.83203125" customWidth="1"/>
    <col min="5" max="5" width="33.83203125" customWidth="1"/>
  </cols>
  <sheetData>
    <row r="1" spans="1:5" ht="21" thickBot="1" x14ac:dyDescent="0.3">
      <c r="A1" s="1" t="s">
        <v>120</v>
      </c>
      <c r="B1" s="1"/>
      <c r="C1" s="1"/>
      <c r="D1" s="1"/>
      <c r="E1" s="1"/>
    </row>
    <row r="2" spans="1:5" ht="17" thickTop="1" x14ac:dyDescent="0.2"/>
    <row r="3" spans="1:5" ht="18" thickBot="1" x14ac:dyDescent="0.25">
      <c r="B3" s="2" t="s">
        <v>9</v>
      </c>
      <c r="C3" s="2"/>
      <c r="D3" s="2"/>
      <c r="E3" s="2"/>
    </row>
    <row r="4" spans="1:5" ht="17" thickTop="1" x14ac:dyDescent="0.2">
      <c r="B4" s="27" t="s">
        <v>121</v>
      </c>
      <c r="C4" s="27"/>
      <c r="D4" s="27"/>
      <c r="E4" s="27"/>
    </row>
    <row r="6" spans="1:5" ht="18" thickBot="1" x14ac:dyDescent="0.25">
      <c r="B6" s="2" t="s">
        <v>38</v>
      </c>
      <c r="C6" s="2"/>
      <c r="D6" s="2"/>
      <c r="E6" s="2"/>
    </row>
    <row r="7" spans="1:5" ht="17" thickTop="1" x14ac:dyDescent="0.2">
      <c r="B7" s="27" t="s">
        <v>122</v>
      </c>
      <c r="C7" s="27"/>
      <c r="D7" s="27"/>
      <c r="E7" s="27"/>
    </row>
    <row r="8" spans="1:5" x14ac:dyDescent="0.2">
      <c r="B8" s="10"/>
      <c r="C8" s="10"/>
      <c r="D8" s="10"/>
      <c r="E8" s="10"/>
    </row>
    <row r="9" spans="1:5" ht="18" thickBot="1" x14ac:dyDescent="0.25">
      <c r="B9" s="2" t="s">
        <v>0</v>
      </c>
      <c r="C9" s="2"/>
      <c r="D9" s="2"/>
      <c r="E9" s="2"/>
    </row>
    <row r="10" spans="1:5" ht="18" thickTop="1" thickBot="1" x14ac:dyDescent="0.25">
      <c r="B10" s="6" t="s">
        <v>10</v>
      </c>
      <c r="C10" s="6" t="s">
        <v>11</v>
      </c>
      <c r="D10" s="6" t="s">
        <v>12</v>
      </c>
      <c r="E10" s="6" t="s">
        <v>16</v>
      </c>
    </row>
    <row r="11" spans="1:5" x14ac:dyDescent="0.2">
      <c r="B11" s="12" t="s">
        <v>123</v>
      </c>
      <c r="C11" s="11">
        <v>2.9</v>
      </c>
      <c r="D11" s="12" t="s">
        <v>6</v>
      </c>
      <c r="E11" s="7"/>
    </row>
    <row r="12" spans="1:5" x14ac:dyDescent="0.2">
      <c r="B12" s="12" t="s">
        <v>124</v>
      </c>
      <c r="C12" s="11">
        <v>2.5000000000000001E-2</v>
      </c>
      <c r="D12" s="12" t="s">
        <v>8</v>
      </c>
      <c r="E12" s="7"/>
    </row>
    <row r="13" spans="1:5" x14ac:dyDescent="0.2">
      <c r="B13" s="12"/>
      <c r="C13" s="12"/>
      <c r="D13" s="12"/>
    </row>
    <row r="14" spans="1:5" ht="18" thickBot="1" x14ac:dyDescent="0.25">
      <c r="B14" s="2" t="s">
        <v>20</v>
      </c>
      <c r="C14" s="2"/>
      <c r="D14" s="2"/>
      <c r="E14" s="2"/>
    </row>
    <row r="15" spans="1:5" ht="18" thickTop="1" thickBot="1" x14ac:dyDescent="0.25">
      <c r="B15" s="6" t="s">
        <v>33</v>
      </c>
      <c r="C15" s="6" t="s">
        <v>34</v>
      </c>
      <c r="D15" s="6"/>
      <c r="E15" s="6" t="s">
        <v>9</v>
      </c>
    </row>
    <row r="16" spans="1:5" ht="17" x14ac:dyDescent="0.2">
      <c r="B16" s="11" t="s">
        <v>128</v>
      </c>
      <c r="C16" s="13" t="b">
        <f>C23&lt;C12</f>
        <v>1</v>
      </c>
      <c r="E16" s="7" t="s">
        <v>174</v>
      </c>
    </row>
    <row r="17" spans="2:5" x14ac:dyDescent="0.2">
      <c r="B17" s="11"/>
      <c r="C17" s="13"/>
      <c r="E17" s="7"/>
    </row>
    <row r="19" spans="2:5" ht="18" thickBot="1" x14ac:dyDescent="0.25">
      <c r="B19" s="2" t="s">
        <v>15</v>
      </c>
      <c r="C19" s="2"/>
      <c r="D19" s="2"/>
      <c r="E19" s="2"/>
    </row>
    <row r="20" spans="2:5" ht="18" thickTop="1" thickBot="1" x14ac:dyDescent="0.25">
      <c r="B20" s="6" t="s">
        <v>45</v>
      </c>
      <c r="C20" s="6" t="s">
        <v>40</v>
      </c>
      <c r="D20" s="6" t="s">
        <v>12</v>
      </c>
      <c r="E20" s="6" t="s">
        <v>9</v>
      </c>
    </row>
    <row r="21" spans="2:5" x14ac:dyDescent="0.2">
      <c r="B21" t="s">
        <v>168</v>
      </c>
      <c r="C21">
        <f>(Project!C10-C11)/C12</f>
        <v>84</v>
      </c>
      <c r="D21" s="14" t="s">
        <v>7</v>
      </c>
      <c r="E21" t="s">
        <v>170</v>
      </c>
    </row>
    <row r="22" spans="2:5" x14ac:dyDescent="0.2">
      <c r="B22" t="s">
        <v>169</v>
      </c>
      <c r="C22">
        <f>(Project!C10-C11)/0.001</f>
        <v>2100</v>
      </c>
      <c r="D22" s="14" t="s">
        <v>7</v>
      </c>
      <c r="E22" t="s">
        <v>171</v>
      </c>
    </row>
    <row r="23" spans="2:5" ht="17" x14ac:dyDescent="0.2">
      <c r="B23" s="12" t="s">
        <v>5</v>
      </c>
      <c r="C23" s="15">
        <f>(Project!C10-C11)/C28</f>
        <v>3.0882352941176473E-3</v>
      </c>
      <c r="D23" s="14" t="s">
        <v>8</v>
      </c>
      <c r="E23" s="7" t="s">
        <v>125</v>
      </c>
    </row>
    <row r="24" spans="2:5" ht="17" x14ac:dyDescent="0.2">
      <c r="B24" s="12" t="s">
        <v>126</v>
      </c>
      <c r="C24" s="15">
        <f>Project!C10*C23</f>
        <v>1.5441176470588236E-2</v>
      </c>
      <c r="D24" s="14" t="s">
        <v>94</v>
      </c>
      <c r="E24" s="7" t="s">
        <v>127</v>
      </c>
    </row>
    <row r="26" spans="2:5" ht="18" thickBot="1" x14ac:dyDescent="0.25">
      <c r="B26" s="2" t="s">
        <v>44</v>
      </c>
      <c r="C26" s="2"/>
      <c r="D26" s="2"/>
      <c r="E26" s="2"/>
    </row>
    <row r="27" spans="2:5" ht="18" thickTop="1" thickBot="1" x14ac:dyDescent="0.25">
      <c r="B27" s="6" t="s">
        <v>172</v>
      </c>
      <c r="C27" s="6" t="s">
        <v>11</v>
      </c>
      <c r="D27" s="6" t="s">
        <v>12</v>
      </c>
      <c r="E27" s="6" t="s">
        <v>9</v>
      </c>
    </row>
    <row r="28" spans="2:5" ht="34" x14ac:dyDescent="0.2">
      <c r="B28" s="12" t="s">
        <v>173</v>
      </c>
      <c r="C28" s="12">
        <f>'2N7002'!C35</f>
        <v>680</v>
      </c>
      <c r="D28" s="14" t="s">
        <v>7</v>
      </c>
      <c r="E28" s="7" t="s">
        <v>161</v>
      </c>
    </row>
    <row r="30" spans="2:5" ht="18" thickBot="1" x14ac:dyDescent="0.25">
      <c r="B30" s="2" t="s">
        <v>49</v>
      </c>
      <c r="C30" s="2"/>
      <c r="D30" s="2"/>
      <c r="E30" s="2"/>
    </row>
    <row r="31" spans="2:5" ht="17" thickTop="1" x14ac:dyDescent="0.2"/>
  </sheetData>
  <mergeCells count="2">
    <mergeCell ref="B4:E4"/>
    <mergeCell ref="B7:E7"/>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3BBA-56E6-A849-90C8-B4D5DB8B21B1}">
  <dimension ref="A1:E46"/>
  <sheetViews>
    <sheetView topLeftCell="A17" zoomScaleNormal="100" workbookViewId="0">
      <selection activeCell="C43" sqref="C43"/>
    </sheetView>
  </sheetViews>
  <sheetFormatPr baseColWidth="10" defaultRowHeight="16" x14ac:dyDescent="0.2"/>
  <cols>
    <col min="1" max="1" width="3.83203125" customWidth="1"/>
    <col min="2" max="2" width="20.83203125" customWidth="1"/>
    <col min="3" max="3" width="12.83203125" customWidth="1"/>
    <col min="4" max="4" width="10.83203125" customWidth="1"/>
    <col min="5" max="5" width="33.83203125" customWidth="1"/>
  </cols>
  <sheetData>
    <row r="1" spans="1:5" ht="21" thickBot="1" x14ac:dyDescent="0.3">
      <c r="A1" s="1" t="s">
        <v>200</v>
      </c>
      <c r="B1" s="1"/>
      <c r="C1" s="1"/>
      <c r="D1" s="1"/>
      <c r="E1" s="1"/>
    </row>
    <row r="2" spans="1:5" ht="17" thickTop="1" x14ac:dyDescent="0.2"/>
    <row r="3" spans="1:5" ht="18" thickBot="1" x14ac:dyDescent="0.25">
      <c r="B3" s="2" t="s">
        <v>9</v>
      </c>
      <c r="C3" s="2"/>
      <c r="D3" s="2"/>
      <c r="E3" s="2"/>
    </row>
    <row r="4" spans="1:5" ht="17" thickTop="1" x14ac:dyDescent="0.2">
      <c r="B4" s="27" t="s">
        <v>208</v>
      </c>
      <c r="C4" s="27"/>
      <c r="D4" s="27"/>
      <c r="E4" s="27"/>
    </row>
    <row r="6" spans="1:5" ht="18" thickBot="1" x14ac:dyDescent="0.25">
      <c r="B6" s="2" t="s">
        <v>38</v>
      </c>
      <c r="C6" s="2"/>
      <c r="D6" s="2"/>
      <c r="E6" s="2"/>
    </row>
    <row r="7" spans="1:5" ht="17" thickTop="1" x14ac:dyDescent="0.2">
      <c r="B7" s="27" t="s">
        <v>122</v>
      </c>
      <c r="C7" s="27"/>
      <c r="D7" s="27"/>
      <c r="E7" s="27"/>
    </row>
    <row r="8" spans="1:5" x14ac:dyDescent="0.2">
      <c r="B8" s="10"/>
      <c r="C8" s="10"/>
      <c r="D8" s="10"/>
      <c r="E8" s="10"/>
    </row>
    <row r="9" spans="1:5" ht="18" thickBot="1" x14ac:dyDescent="0.25">
      <c r="B9" s="2" t="s">
        <v>0</v>
      </c>
      <c r="C9" s="2"/>
      <c r="D9" s="2"/>
      <c r="E9" s="2"/>
    </row>
    <row r="10" spans="1:5" ht="18" thickTop="1" thickBot="1" x14ac:dyDescent="0.25">
      <c r="B10" s="6" t="s">
        <v>10</v>
      </c>
      <c r="C10" s="6" t="s">
        <v>11</v>
      </c>
      <c r="D10" s="6" t="s">
        <v>12</v>
      </c>
      <c r="E10" s="6" t="s">
        <v>16</v>
      </c>
    </row>
    <row r="11" spans="1:5" x14ac:dyDescent="0.2">
      <c r="B11" s="12" t="s">
        <v>209</v>
      </c>
      <c r="C11" s="11">
        <v>2.9</v>
      </c>
      <c r="D11" s="12" t="s">
        <v>6</v>
      </c>
      <c r="E11" s="7"/>
    </row>
    <row r="12" spans="1:5" x14ac:dyDescent="0.2">
      <c r="B12" s="12" t="s">
        <v>210</v>
      </c>
      <c r="C12" s="11">
        <v>1.95</v>
      </c>
      <c r="D12" s="12" t="s">
        <v>6</v>
      </c>
      <c r="E12" s="7"/>
    </row>
    <row r="13" spans="1:5" x14ac:dyDescent="0.2">
      <c r="B13" s="12" t="s">
        <v>211</v>
      </c>
      <c r="C13" s="11">
        <v>1.95</v>
      </c>
      <c r="D13" s="12" t="s">
        <v>6</v>
      </c>
      <c r="E13" s="7"/>
    </row>
    <row r="14" spans="1:5" x14ac:dyDescent="0.2">
      <c r="B14" s="12" t="s">
        <v>124</v>
      </c>
      <c r="C14" s="11">
        <v>2.5000000000000001E-2</v>
      </c>
      <c r="D14" s="12" t="s">
        <v>8</v>
      </c>
      <c r="E14" s="7"/>
    </row>
    <row r="15" spans="1:5" x14ac:dyDescent="0.2">
      <c r="B15" s="12"/>
      <c r="C15" s="12"/>
      <c r="D15" s="12"/>
    </row>
    <row r="16" spans="1:5" ht="18" thickBot="1" x14ac:dyDescent="0.25">
      <c r="B16" s="2" t="s">
        <v>20</v>
      </c>
      <c r="C16" s="2"/>
      <c r="D16" s="2"/>
      <c r="E16" s="2"/>
    </row>
    <row r="17" spans="2:5" ht="18" thickTop="1" thickBot="1" x14ac:dyDescent="0.25">
      <c r="B17" s="6" t="s">
        <v>33</v>
      </c>
      <c r="C17" s="6" t="s">
        <v>34</v>
      </c>
      <c r="D17" s="6"/>
      <c r="E17" s="6" t="s">
        <v>9</v>
      </c>
    </row>
    <row r="18" spans="2:5" ht="34" x14ac:dyDescent="0.2">
      <c r="B18" s="30" t="s">
        <v>218</v>
      </c>
      <c r="C18" s="13" t="b">
        <f>C33&lt;C14</f>
        <v>1</v>
      </c>
      <c r="E18" s="7" t="s">
        <v>174</v>
      </c>
    </row>
    <row r="19" spans="2:5" ht="34" x14ac:dyDescent="0.2">
      <c r="B19" s="30" t="s">
        <v>219</v>
      </c>
      <c r="C19" s="13" t="b">
        <f>C34&gt;0.001</f>
        <v>1</v>
      </c>
      <c r="E19" s="7" t="s">
        <v>199</v>
      </c>
    </row>
    <row r="20" spans="2:5" ht="34" x14ac:dyDescent="0.2">
      <c r="B20" s="30" t="s">
        <v>220</v>
      </c>
      <c r="C20" s="13" t="b">
        <f>C35&lt;C14</f>
        <v>1</v>
      </c>
      <c r="E20" s="7" t="s">
        <v>174</v>
      </c>
    </row>
    <row r="21" spans="2:5" ht="34" x14ac:dyDescent="0.2">
      <c r="B21" s="30" t="s">
        <v>221</v>
      </c>
      <c r="C21" s="13" t="b">
        <f>C36&gt;0.001</f>
        <v>1</v>
      </c>
      <c r="E21" s="7" t="s">
        <v>199</v>
      </c>
    </row>
    <row r="22" spans="2:5" ht="34" x14ac:dyDescent="0.2">
      <c r="B22" s="30" t="s">
        <v>222</v>
      </c>
      <c r="C22" s="13" t="b">
        <f>C37&lt;C14</f>
        <v>1</v>
      </c>
      <c r="E22" s="7" t="s">
        <v>174</v>
      </c>
    </row>
    <row r="23" spans="2:5" ht="34" x14ac:dyDescent="0.2">
      <c r="B23" s="30" t="s">
        <v>223</v>
      </c>
      <c r="C23" s="13" t="b">
        <f>C38&gt;0.001</f>
        <v>1</v>
      </c>
      <c r="E23" s="7" t="s">
        <v>199</v>
      </c>
    </row>
    <row r="25" spans="2:5" ht="18" thickBot="1" x14ac:dyDescent="0.25">
      <c r="B25" s="2" t="s">
        <v>15</v>
      </c>
      <c r="C25" s="2"/>
      <c r="D25" s="2"/>
      <c r="E25" s="2"/>
    </row>
    <row r="26" spans="2:5" ht="18" thickTop="1" thickBot="1" x14ac:dyDescent="0.25">
      <c r="B26" s="6" t="s">
        <v>45</v>
      </c>
      <c r="C26" s="6" t="s">
        <v>40</v>
      </c>
      <c r="D26" s="6" t="s">
        <v>12</v>
      </c>
      <c r="E26" s="6" t="s">
        <v>9</v>
      </c>
    </row>
    <row r="27" spans="2:5" x14ac:dyDescent="0.2">
      <c r="B27" t="s">
        <v>212</v>
      </c>
      <c r="C27">
        <f>(Project!C8-C11)/C14</f>
        <v>1084</v>
      </c>
      <c r="D27" s="14" t="s">
        <v>7</v>
      </c>
      <c r="E27" t="s">
        <v>170</v>
      </c>
    </row>
    <row r="28" spans="2:5" x14ac:dyDescent="0.2">
      <c r="B28" t="s">
        <v>214</v>
      </c>
      <c r="C28">
        <f>(Project!C9-C12)/C14</f>
        <v>161.99999999999997</v>
      </c>
      <c r="D28" s="14" t="s">
        <v>7</v>
      </c>
      <c r="E28" t="s">
        <v>170</v>
      </c>
    </row>
    <row r="29" spans="2:5" x14ac:dyDescent="0.2">
      <c r="B29" t="s">
        <v>216</v>
      </c>
      <c r="C29">
        <f>(Project!C9-C13)/C14</f>
        <v>161.99999999999997</v>
      </c>
      <c r="D29" s="14" t="s">
        <v>7</v>
      </c>
      <c r="E29" t="s">
        <v>170</v>
      </c>
    </row>
    <row r="30" spans="2:5" x14ac:dyDescent="0.2">
      <c r="B30" t="s">
        <v>213</v>
      </c>
      <c r="C30">
        <f>(Project!C9-C11)/0.001</f>
        <v>3100</v>
      </c>
      <c r="D30" s="14" t="s">
        <v>7</v>
      </c>
      <c r="E30" t="s">
        <v>171</v>
      </c>
    </row>
    <row r="31" spans="2:5" x14ac:dyDescent="0.2">
      <c r="B31" t="s">
        <v>215</v>
      </c>
      <c r="C31">
        <f>(Project!C9-C12)/0.001</f>
        <v>4049.9999999999995</v>
      </c>
      <c r="D31" s="14"/>
      <c r="E31" t="s">
        <v>171</v>
      </c>
    </row>
    <row r="32" spans="2:5" x14ac:dyDescent="0.2">
      <c r="B32" t="s">
        <v>217</v>
      </c>
      <c r="C32">
        <f>(Project!C9-C13)/0.001</f>
        <v>4049.9999999999995</v>
      </c>
      <c r="D32" s="14"/>
      <c r="E32" t="s">
        <v>171</v>
      </c>
    </row>
    <row r="33" spans="2:5" ht="17" x14ac:dyDescent="0.2">
      <c r="B33" s="12" t="s">
        <v>224</v>
      </c>
      <c r="C33" s="15">
        <f>(Project!C8-C11)/C43</f>
        <v>1.0037037037037037E-2</v>
      </c>
      <c r="D33" s="14" t="s">
        <v>8</v>
      </c>
      <c r="E33" s="7" t="s">
        <v>196</v>
      </c>
    </row>
    <row r="34" spans="2:5" ht="17" x14ac:dyDescent="0.2">
      <c r="B34" s="12" t="s">
        <v>225</v>
      </c>
      <c r="C34" s="15">
        <f>(Project!C9-C11)/C43</f>
        <v>1.1481481481481481E-3</v>
      </c>
      <c r="D34" s="14" t="s">
        <v>8</v>
      </c>
      <c r="E34" s="7" t="s">
        <v>197</v>
      </c>
    </row>
    <row r="35" spans="2:5" ht="17" x14ac:dyDescent="0.2">
      <c r="B35" s="12" t="s">
        <v>226</v>
      </c>
      <c r="C35" s="15">
        <f>(Project!C9-C12)/C43</f>
        <v>1.5E-3</v>
      </c>
      <c r="D35" s="14" t="s">
        <v>8</v>
      </c>
      <c r="E35" s="7" t="s">
        <v>196</v>
      </c>
    </row>
    <row r="36" spans="2:5" ht="17" x14ac:dyDescent="0.2">
      <c r="B36" s="12" t="s">
        <v>227</v>
      </c>
      <c r="C36" s="15">
        <f>(Project!C10-C12)/C43</f>
        <v>1.1296296296296295E-3</v>
      </c>
      <c r="D36" s="14" t="s">
        <v>8</v>
      </c>
      <c r="E36" s="7" t="s">
        <v>197</v>
      </c>
    </row>
    <row r="37" spans="2:5" ht="17" x14ac:dyDescent="0.2">
      <c r="B37" s="12" t="s">
        <v>228</v>
      </c>
      <c r="C37" s="15">
        <f>(Project!C9-C13)/C43</f>
        <v>1.5E-3</v>
      </c>
      <c r="D37" s="14" t="s">
        <v>8</v>
      </c>
      <c r="E37" s="7" t="s">
        <v>196</v>
      </c>
    </row>
    <row r="38" spans="2:5" ht="17" x14ac:dyDescent="0.2">
      <c r="B38" s="12" t="s">
        <v>229</v>
      </c>
      <c r="C38" s="15">
        <f>(Project!C10-C13)/C43</f>
        <v>1.1296296296296295E-3</v>
      </c>
      <c r="D38" s="14" t="s">
        <v>8</v>
      </c>
      <c r="E38" s="7" t="s">
        <v>197</v>
      </c>
    </row>
    <row r="39" spans="2:5" ht="17" x14ac:dyDescent="0.2">
      <c r="B39" s="12" t="s">
        <v>126</v>
      </c>
      <c r="C39" s="15">
        <f>Project!C8*C33</f>
        <v>0.30111111111111111</v>
      </c>
      <c r="D39" s="14" t="s">
        <v>94</v>
      </c>
      <c r="E39" s="7" t="s">
        <v>198</v>
      </c>
    </row>
    <row r="41" spans="2:5" ht="18" thickBot="1" x14ac:dyDescent="0.25">
      <c r="B41" s="2" t="s">
        <v>44</v>
      </c>
      <c r="C41" s="2"/>
      <c r="D41" s="2"/>
      <c r="E41" s="2"/>
    </row>
    <row r="42" spans="2:5" ht="18" thickTop="1" thickBot="1" x14ac:dyDescent="0.25">
      <c r="B42" s="6" t="s">
        <v>172</v>
      </c>
      <c r="C42" s="6" t="s">
        <v>11</v>
      </c>
      <c r="D42" s="6" t="s">
        <v>12</v>
      </c>
      <c r="E42" s="6" t="s">
        <v>9</v>
      </c>
    </row>
    <row r="43" spans="2:5" ht="34" x14ac:dyDescent="0.2">
      <c r="B43" s="12" t="s">
        <v>201</v>
      </c>
      <c r="C43" s="12">
        <f>BackEMF!C27</f>
        <v>2700</v>
      </c>
      <c r="D43" s="14" t="s">
        <v>7</v>
      </c>
      <c r="E43" s="7" t="s">
        <v>206</v>
      </c>
    </row>
    <row r="45" spans="2:5" ht="18" thickBot="1" x14ac:dyDescent="0.25">
      <c r="B45" s="2" t="s">
        <v>49</v>
      </c>
      <c r="C45" s="2"/>
      <c r="D45" s="2"/>
      <c r="E45" s="2"/>
    </row>
    <row r="46" spans="2:5" ht="17" thickTop="1" x14ac:dyDescent="0.2"/>
  </sheetData>
  <mergeCells count="2">
    <mergeCell ref="B4:E4"/>
    <mergeCell ref="B7:E7"/>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BA66-A2E4-5B45-9BD4-8D39D01F419A}">
  <dimension ref="A1:E35"/>
  <sheetViews>
    <sheetView topLeftCell="A4" zoomScaleNormal="100" workbookViewId="0">
      <selection activeCell="C28" sqref="C28"/>
    </sheetView>
  </sheetViews>
  <sheetFormatPr baseColWidth="10" defaultRowHeight="16" x14ac:dyDescent="0.2"/>
  <cols>
    <col min="1" max="1" width="3.83203125" customWidth="1"/>
    <col min="2" max="2" width="20.83203125" customWidth="1"/>
    <col min="3" max="3" width="12.83203125" customWidth="1"/>
    <col min="4" max="4" width="10.83203125" customWidth="1"/>
    <col min="5" max="5" width="33.83203125" customWidth="1"/>
  </cols>
  <sheetData>
    <row r="1" spans="1:5" ht="21" thickBot="1" x14ac:dyDescent="0.3">
      <c r="A1" s="1" t="s">
        <v>132</v>
      </c>
      <c r="B1" s="1"/>
      <c r="C1" s="1"/>
      <c r="D1" s="1"/>
      <c r="E1" s="1"/>
    </row>
    <row r="2" spans="1:5" ht="17" thickTop="1" x14ac:dyDescent="0.2"/>
    <row r="3" spans="1:5" ht="18" thickBot="1" x14ac:dyDescent="0.25">
      <c r="B3" s="2" t="s">
        <v>9</v>
      </c>
      <c r="C3" s="2"/>
      <c r="D3" s="2"/>
      <c r="E3" s="2"/>
    </row>
    <row r="4" spans="1:5" ht="33" customHeight="1" thickTop="1" x14ac:dyDescent="0.2">
      <c r="B4" s="27" t="s">
        <v>182</v>
      </c>
      <c r="C4" s="27"/>
      <c r="D4" s="27"/>
      <c r="E4" s="27"/>
    </row>
    <row r="6" spans="1:5" ht="18" thickBot="1" x14ac:dyDescent="0.25">
      <c r="B6" s="2" t="s">
        <v>38</v>
      </c>
      <c r="C6" s="2"/>
      <c r="D6" s="2"/>
      <c r="E6" s="2"/>
    </row>
    <row r="7" spans="1:5" ht="17" thickTop="1" x14ac:dyDescent="0.2">
      <c r="B7" s="27" t="s">
        <v>183</v>
      </c>
      <c r="C7" s="27"/>
      <c r="D7" s="27"/>
      <c r="E7" s="27"/>
    </row>
    <row r="8" spans="1:5" x14ac:dyDescent="0.2">
      <c r="B8" s="10"/>
      <c r="C8" s="10"/>
      <c r="D8" s="10"/>
      <c r="E8" s="10"/>
    </row>
    <row r="9" spans="1:5" ht="18" thickBot="1" x14ac:dyDescent="0.25">
      <c r="B9" s="2" t="s">
        <v>0</v>
      </c>
      <c r="C9" s="2"/>
      <c r="D9" s="2"/>
      <c r="E9" s="2"/>
    </row>
    <row r="10" spans="1:5" ht="18" thickTop="1" thickBot="1" x14ac:dyDescent="0.25">
      <c r="B10" s="6" t="s">
        <v>10</v>
      </c>
      <c r="C10" s="6" t="s">
        <v>11</v>
      </c>
      <c r="D10" s="6" t="s">
        <v>12</v>
      </c>
      <c r="E10" s="6" t="s">
        <v>16</v>
      </c>
    </row>
    <row r="11" spans="1:5" x14ac:dyDescent="0.2">
      <c r="B11" s="12" t="s">
        <v>1</v>
      </c>
      <c r="C11" s="11" t="s">
        <v>2</v>
      </c>
      <c r="D11" s="12"/>
      <c r="E11" s="7"/>
    </row>
    <row r="12" spans="1:5" x14ac:dyDescent="0.2">
      <c r="B12" s="12" t="s">
        <v>3</v>
      </c>
      <c r="C12" s="11">
        <v>60</v>
      </c>
      <c r="D12" s="12" t="s">
        <v>6</v>
      </c>
      <c r="E12" s="7"/>
    </row>
    <row r="13" spans="1:5" x14ac:dyDescent="0.2">
      <c r="B13" s="12" t="s">
        <v>18</v>
      </c>
      <c r="C13" s="11">
        <v>3</v>
      </c>
      <c r="D13" s="12" t="s">
        <v>6</v>
      </c>
      <c r="E13" s="7"/>
    </row>
    <row r="14" spans="1:5" ht="17" x14ac:dyDescent="0.2">
      <c r="B14" s="12" t="s">
        <v>4</v>
      </c>
      <c r="C14" s="11">
        <v>0.17</v>
      </c>
      <c r="D14" s="14" t="s">
        <v>7</v>
      </c>
      <c r="E14" s="7" t="s">
        <v>133</v>
      </c>
    </row>
    <row r="15" spans="1:5" ht="17" x14ac:dyDescent="0.2">
      <c r="B15" s="12" t="s">
        <v>5</v>
      </c>
      <c r="C15" s="16">
        <v>1.2</v>
      </c>
      <c r="D15" s="12" t="s">
        <v>8</v>
      </c>
      <c r="E15" s="7" t="s">
        <v>134</v>
      </c>
    </row>
    <row r="16" spans="1:5" ht="17" x14ac:dyDescent="0.2">
      <c r="B16" s="12" t="s">
        <v>19</v>
      </c>
      <c r="C16" s="18">
        <v>120</v>
      </c>
      <c r="D16" s="14" t="s">
        <v>7</v>
      </c>
      <c r="E16" s="7" t="s">
        <v>29</v>
      </c>
    </row>
    <row r="17" spans="2:5" x14ac:dyDescent="0.2">
      <c r="B17" s="12"/>
      <c r="C17" s="12"/>
      <c r="D17" s="12"/>
    </row>
    <row r="18" spans="2:5" ht="18" thickBot="1" x14ac:dyDescent="0.25">
      <c r="B18" s="2" t="s">
        <v>20</v>
      </c>
      <c r="C18" s="2"/>
      <c r="D18" s="2"/>
      <c r="E18" s="2"/>
    </row>
    <row r="19" spans="2:5" ht="18" thickTop="1" thickBot="1" x14ac:dyDescent="0.25">
      <c r="B19" s="6" t="s">
        <v>33</v>
      </c>
      <c r="C19" s="6" t="s">
        <v>34</v>
      </c>
      <c r="D19" s="6"/>
      <c r="E19" s="6" t="s">
        <v>9</v>
      </c>
    </row>
    <row r="20" spans="2:5" ht="34" x14ac:dyDescent="0.2">
      <c r="B20" s="11" t="s">
        <v>27</v>
      </c>
      <c r="C20" s="13" t="b">
        <f>C12&gt;Project!C8</f>
        <v>1</v>
      </c>
      <c r="E20" s="7" t="s">
        <v>35</v>
      </c>
    </row>
    <row r="21" spans="2:5" ht="34" x14ac:dyDescent="0.2">
      <c r="B21" s="11" t="s">
        <v>32</v>
      </c>
      <c r="C21" s="13" t="b">
        <f>C13&lt;Project!C10</f>
        <v>1</v>
      </c>
      <c r="E21" s="7" t="s">
        <v>36</v>
      </c>
    </row>
    <row r="22" spans="2:5" ht="34" x14ac:dyDescent="0.2">
      <c r="B22" s="11" t="s">
        <v>31</v>
      </c>
      <c r="C22" s="13" t="b">
        <f>C15&gt;Project!C12</f>
        <v>1</v>
      </c>
      <c r="E22" s="7" t="s">
        <v>37</v>
      </c>
    </row>
    <row r="23" spans="2:5" ht="34" x14ac:dyDescent="0.2">
      <c r="B23" s="11" t="s">
        <v>51</v>
      </c>
      <c r="C23" s="13" t="b">
        <f>C27&lt;PIC18F16Q40!B11</f>
        <v>1</v>
      </c>
      <c r="E23" s="7" t="s">
        <v>52</v>
      </c>
    </row>
    <row r="25" spans="2:5" ht="18" thickBot="1" x14ac:dyDescent="0.25">
      <c r="B25" s="2" t="s">
        <v>15</v>
      </c>
      <c r="C25" s="2"/>
      <c r="D25" s="2"/>
      <c r="E25" s="2"/>
    </row>
    <row r="26" spans="2:5" ht="18" thickTop="1" thickBot="1" x14ac:dyDescent="0.25">
      <c r="B26" s="6" t="s">
        <v>45</v>
      </c>
      <c r="C26" s="6" t="s">
        <v>40</v>
      </c>
      <c r="D26" s="6" t="s">
        <v>12</v>
      </c>
      <c r="E26" s="6" t="s">
        <v>9</v>
      </c>
    </row>
    <row r="27" spans="2:5" ht="17" x14ac:dyDescent="0.2">
      <c r="B27" s="12" t="s">
        <v>46</v>
      </c>
      <c r="C27" s="12">
        <f>Project!C10/PIC18F16Q40!C11</f>
        <v>200</v>
      </c>
      <c r="D27" s="14" t="s">
        <v>7</v>
      </c>
      <c r="E27" s="7" t="s">
        <v>43</v>
      </c>
    </row>
    <row r="28" spans="2:5" ht="17" x14ac:dyDescent="0.2">
      <c r="B28" s="12" t="s">
        <v>47</v>
      </c>
      <c r="C28" s="15">
        <f>Project!C10/C32</f>
        <v>7.3529411764705881E-3</v>
      </c>
      <c r="D28" s="14" t="s">
        <v>8</v>
      </c>
      <c r="E28" s="7" t="s">
        <v>48</v>
      </c>
    </row>
    <row r="30" spans="2:5" ht="18" thickBot="1" x14ac:dyDescent="0.25">
      <c r="B30" s="2" t="s">
        <v>44</v>
      </c>
      <c r="C30" s="2"/>
      <c r="D30" s="2"/>
      <c r="E30" s="2"/>
    </row>
    <row r="31" spans="2:5" ht="18" thickTop="1" thickBot="1" x14ac:dyDescent="0.25">
      <c r="B31" s="6" t="s">
        <v>78</v>
      </c>
      <c r="C31" s="6" t="s">
        <v>11</v>
      </c>
      <c r="D31" s="6" t="s">
        <v>12</v>
      </c>
      <c r="E31" s="6" t="s">
        <v>9</v>
      </c>
    </row>
    <row r="32" spans="2:5" ht="34" x14ac:dyDescent="0.2">
      <c r="B32" s="12" t="s">
        <v>180</v>
      </c>
      <c r="C32" s="12">
        <f>'2N7002'!C35</f>
        <v>680</v>
      </c>
      <c r="D32" s="14" t="s">
        <v>7</v>
      </c>
      <c r="E32" s="7" t="s">
        <v>161</v>
      </c>
    </row>
    <row r="34" spans="2:5" ht="18" thickBot="1" x14ac:dyDescent="0.25">
      <c r="B34" s="2" t="s">
        <v>49</v>
      </c>
      <c r="C34" s="2"/>
      <c r="D34" s="2"/>
      <c r="E34" s="2"/>
    </row>
    <row r="35" spans="2:5" ht="17" thickTop="1" x14ac:dyDescent="0.2"/>
  </sheetData>
  <mergeCells count="2">
    <mergeCell ref="B4:E4"/>
    <mergeCell ref="B7:E7"/>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5E41A-C091-9B44-835F-072129F14E76}">
  <dimension ref="A1:E35"/>
  <sheetViews>
    <sheetView topLeftCell="A8" zoomScaleNormal="100" workbookViewId="0">
      <selection activeCell="C32" sqref="C32"/>
    </sheetView>
  </sheetViews>
  <sheetFormatPr baseColWidth="10" defaultRowHeight="16" x14ac:dyDescent="0.2"/>
  <cols>
    <col min="1" max="1" width="3.83203125" customWidth="1"/>
    <col min="2" max="2" width="20.83203125" customWidth="1"/>
    <col min="3" max="3" width="12.83203125" customWidth="1"/>
    <col min="4" max="4" width="10.83203125" customWidth="1"/>
    <col min="5" max="5" width="33.83203125" customWidth="1"/>
  </cols>
  <sheetData>
    <row r="1" spans="1:5" ht="21" thickBot="1" x14ac:dyDescent="0.3">
      <c r="A1" s="1" t="s">
        <v>135</v>
      </c>
      <c r="B1" s="1"/>
      <c r="C1" s="1"/>
      <c r="D1" s="1"/>
      <c r="E1" s="1"/>
    </row>
    <row r="2" spans="1:5" ht="17" thickTop="1" x14ac:dyDescent="0.2"/>
    <row r="3" spans="1:5" ht="18" thickBot="1" x14ac:dyDescent="0.25">
      <c r="B3" s="2" t="s">
        <v>9</v>
      </c>
      <c r="C3" s="2"/>
      <c r="D3" s="2"/>
      <c r="E3" s="2"/>
    </row>
    <row r="4" spans="1:5" ht="35" customHeight="1" thickTop="1" x14ac:dyDescent="0.2">
      <c r="B4" s="27" t="s">
        <v>185</v>
      </c>
      <c r="C4" s="27"/>
      <c r="D4" s="27"/>
      <c r="E4" s="27"/>
    </row>
    <row r="6" spans="1:5" ht="18" thickBot="1" x14ac:dyDescent="0.25">
      <c r="B6" s="2" t="s">
        <v>38</v>
      </c>
      <c r="C6" s="2"/>
      <c r="D6" s="2"/>
      <c r="E6" s="2"/>
    </row>
    <row r="7" spans="1:5" ht="17" thickTop="1" x14ac:dyDescent="0.2">
      <c r="B7" s="27" t="s">
        <v>184</v>
      </c>
      <c r="C7" s="27"/>
      <c r="D7" s="27"/>
      <c r="E7" s="27"/>
    </row>
    <row r="8" spans="1:5" x14ac:dyDescent="0.2">
      <c r="B8" s="10"/>
      <c r="C8" s="10"/>
      <c r="D8" s="10"/>
      <c r="E8" s="10"/>
    </row>
    <row r="9" spans="1:5" ht="18" thickBot="1" x14ac:dyDescent="0.25">
      <c r="B9" s="2" t="s">
        <v>0</v>
      </c>
      <c r="C9" s="2"/>
      <c r="D9" s="2"/>
      <c r="E9" s="2"/>
    </row>
    <row r="10" spans="1:5" ht="18" thickTop="1" thickBot="1" x14ac:dyDescent="0.25">
      <c r="B10" s="6" t="s">
        <v>10</v>
      </c>
      <c r="C10" s="6" t="s">
        <v>11</v>
      </c>
      <c r="D10" s="6" t="s">
        <v>12</v>
      </c>
      <c r="E10" s="6" t="s">
        <v>16</v>
      </c>
    </row>
    <row r="11" spans="1:5" x14ac:dyDescent="0.2">
      <c r="B11" s="12" t="s">
        <v>1</v>
      </c>
      <c r="C11" s="11" t="s">
        <v>2</v>
      </c>
      <c r="D11" s="12"/>
      <c r="E11" s="7"/>
    </row>
    <row r="12" spans="1:5" x14ac:dyDescent="0.2">
      <c r="B12" s="12" t="s">
        <v>3</v>
      </c>
      <c r="C12" s="11">
        <v>60</v>
      </c>
      <c r="D12" s="12" t="s">
        <v>6</v>
      </c>
      <c r="E12" s="7"/>
    </row>
    <row r="13" spans="1:5" x14ac:dyDescent="0.2">
      <c r="B13" s="12" t="s">
        <v>18</v>
      </c>
      <c r="C13" s="11">
        <v>-2.5</v>
      </c>
      <c r="D13" s="12" t="s">
        <v>6</v>
      </c>
      <c r="E13" s="7"/>
    </row>
    <row r="14" spans="1:5" ht="17" x14ac:dyDescent="0.2">
      <c r="B14" s="12" t="s">
        <v>4</v>
      </c>
      <c r="C14" s="11">
        <v>0.45</v>
      </c>
      <c r="D14" s="14" t="s">
        <v>7</v>
      </c>
      <c r="E14" s="7" t="s">
        <v>133</v>
      </c>
    </row>
    <row r="15" spans="1:5" x14ac:dyDescent="0.2">
      <c r="B15" s="12" t="s">
        <v>5</v>
      </c>
      <c r="C15" s="16">
        <v>-2</v>
      </c>
      <c r="D15" s="12" t="s">
        <v>8</v>
      </c>
      <c r="E15" s="7"/>
    </row>
    <row r="16" spans="1:5" x14ac:dyDescent="0.2">
      <c r="B16" s="12"/>
      <c r="C16" s="12"/>
      <c r="D16" s="12"/>
    </row>
    <row r="17" spans="2:5" ht="18" thickBot="1" x14ac:dyDescent="0.25">
      <c r="B17" s="2" t="s">
        <v>20</v>
      </c>
      <c r="C17" s="2"/>
      <c r="D17" s="2"/>
      <c r="E17" s="2"/>
    </row>
    <row r="18" spans="2:5" ht="18" thickTop="1" thickBot="1" x14ac:dyDescent="0.25">
      <c r="B18" s="6" t="s">
        <v>33</v>
      </c>
      <c r="C18" s="6" t="s">
        <v>34</v>
      </c>
      <c r="D18" s="6"/>
      <c r="E18" s="6" t="s">
        <v>9</v>
      </c>
    </row>
    <row r="19" spans="2:5" x14ac:dyDescent="0.2">
      <c r="B19" s="12" t="s">
        <v>147</v>
      </c>
      <c r="C19" t="b">
        <f>C12&gt;Project!C8</f>
        <v>1</v>
      </c>
    </row>
    <row r="20" spans="2:5" ht="68" x14ac:dyDescent="0.2">
      <c r="B20" s="21" t="s">
        <v>136</v>
      </c>
      <c r="C20" s="13" t="b">
        <f>-1*Project!C9&lt;C13</f>
        <v>1</v>
      </c>
      <c r="E20" s="7" t="s">
        <v>137</v>
      </c>
    </row>
    <row r="21" spans="2:5" ht="34" x14ac:dyDescent="0.2">
      <c r="B21" s="11" t="s">
        <v>32</v>
      </c>
      <c r="C21" s="13" t="b">
        <f>C13&lt;Project!C10</f>
        <v>1</v>
      </c>
      <c r="E21" s="7" t="s">
        <v>36</v>
      </c>
    </row>
    <row r="22" spans="2:5" ht="34" x14ac:dyDescent="0.2">
      <c r="B22" s="11" t="s">
        <v>31</v>
      </c>
      <c r="C22" s="13" t="b">
        <f>C15&lt;-1*Project!C12</f>
        <v>1</v>
      </c>
      <c r="E22" s="7" t="s">
        <v>37</v>
      </c>
    </row>
    <row r="23" spans="2:5" ht="17" x14ac:dyDescent="0.2">
      <c r="B23" s="11" t="s">
        <v>144</v>
      </c>
      <c r="C23" s="13" t="b">
        <f>C28&lt;(1/8)</f>
        <v>1</v>
      </c>
      <c r="E23" s="7" t="s">
        <v>143</v>
      </c>
    </row>
    <row r="25" spans="2:5" ht="18" thickBot="1" x14ac:dyDescent="0.25">
      <c r="B25" s="2" t="s">
        <v>15</v>
      </c>
      <c r="C25" s="2"/>
      <c r="D25" s="2"/>
      <c r="E25" s="2"/>
    </row>
    <row r="26" spans="2:5" ht="18" thickTop="1" thickBot="1" x14ac:dyDescent="0.25">
      <c r="B26" s="6" t="s">
        <v>45</v>
      </c>
      <c r="C26" s="6" t="s">
        <v>40</v>
      </c>
      <c r="D26" s="6" t="s">
        <v>12</v>
      </c>
      <c r="E26" s="6" t="s">
        <v>9</v>
      </c>
    </row>
    <row r="27" spans="2:5" ht="34" x14ac:dyDescent="0.2">
      <c r="B27" s="12" t="s">
        <v>140</v>
      </c>
      <c r="C27" s="15">
        <f>Project!C8/C32</f>
        <v>3.2967032967032967E-3</v>
      </c>
      <c r="D27" s="14" t="s">
        <v>8</v>
      </c>
      <c r="E27" s="7" t="s">
        <v>141</v>
      </c>
    </row>
    <row r="28" spans="2:5" ht="17" x14ac:dyDescent="0.2">
      <c r="B28" s="12" t="s">
        <v>142</v>
      </c>
      <c r="C28" s="15">
        <f>Project!C8 * C27</f>
        <v>9.8901098901098897E-2</v>
      </c>
      <c r="D28" s="14" t="s">
        <v>94</v>
      </c>
      <c r="E28" s="7" t="s">
        <v>139</v>
      </c>
    </row>
    <row r="30" spans="2:5" ht="18" thickBot="1" x14ac:dyDescent="0.25">
      <c r="B30" s="2" t="s">
        <v>44</v>
      </c>
      <c r="C30" s="2"/>
      <c r="D30" s="2"/>
      <c r="E30" s="2"/>
    </row>
    <row r="31" spans="2:5" ht="18" thickTop="1" thickBot="1" x14ac:dyDescent="0.25">
      <c r="B31" s="6" t="s">
        <v>78</v>
      </c>
      <c r="C31" s="6" t="s">
        <v>11</v>
      </c>
      <c r="D31" s="6" t="s">
        <v>12</v>
      </c>
      <c r="E31" s="6" t="s">
        <v>9</v>
      </c>
    </row>
    <row r="32" spans="2:5" ht="34" x14ac:dyDescent="0.2">
      <c r="B32" s="12" t="s">
        <v>181</v>
      </c>
      <c r="C32" s="12">
        <f>PIC18F16Q40!C43</f>
        <v>9100</v>
      </c>
      <c r="D32" s="14" t="s">
        <v>7</v>
      </c>
      <c r="E32" s="21" t="s">
        <v>115</v>
      </c>
    </row>
    <row r="34" spans="2:5" ht="18" thickBot="1" x14ac:dyDescent="0.25">
      <c r="B34" s="2" t="s">
        <v>49</v>
      </c>
      <c r="C34" s="2"/>
      <c r="D34" s="2"/>
      <c r="E34" s="2"/>
    </row>
    <row r="35" spans="2:5" ht="17" thickTop="1" x14ac:dyDescent="0.2"/>
  </sheetData>
  <mergeCells count="2">
    <mergeCell ref="B4:E4"/>
    <mergeCell ref="B7:E7"/>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56152-B36D-9846-9B5B-2FCA9961FF99}">
  <dimension ref="A1:E40"/>
  <sheetViews>
    <sheetView topLeftCell="A9" zoomScaleNormal="100" workbookViewId="0">
      <selection activeCell="C35" sqref="C35"/>
    </sheetView>
  </sheetViews>
  <sheetFormatPr baseColWidth="10" defaultRowHeight="16" x14ac:dyDescent="0.2"/>
  <cols>
    <col min="1" max="1" width="3.83203125" customWidth="1"/>
    <col min="2" max="2" width="20.83203125" customWidth="1"/>
    <col min="3" max="3" width="12.83203125" customWidth="1"/>
    <col min="4" max="4" width="10.83203125" customWidth="1"/>
    <col min="5" max="5" width="33.83203125" customWidth="1"/>
  </cols>
  <sheetData>
    <row r="1" spans="1:5" ht="21" thickBot="1" x14ac:dyDescent="0.3">
      <c r="A1" s="1" t="s">
        <v>145</v>
      </c>
      <c r="B1" s="1"/>
      <c r="C1" s="1"/>
      <c r="D1" s="1"/>
      <c r="E1" s="1"/>
    </row>
    <row r="2" spans="1:5" ht="17" thickTop="1" x14ac:dyDescent="0.2"/>
    <row r="3" spans="1:5" ht="18" thickBot="1" x14ac:dyDescent="0.25">
      <c r="B3" s="2" t="s">
        <v>9</v>
      </c>
      <c r="C3" s="2"/>
      <c r="D3" s="2"/>
      <c r="E3" s="2"/>
    </row>
    <row r="4" spans="1:5" ht="38" customHeight="1" thickTop="1" x14ac:dyDescent="0.2">
      <c r="B4" s="27" t="s">
        <v>186</v>
      </c>
      <c r="C4" s="27"/>
      <c r="D4" s="27"/>
      <c r="E4" s="27"/>
    </row>
    <row r="6" spans="1:5" ht="18" thickBot="1" x14ac:dyDescent="0.25">
      <c r="B6" s="2" t="s">
        <v>38</v>
      </c>
      <c r="C6" s="2"/>
      <c r="D6" s="2"/>
      <c r="E6" s="2"/>
    </row>
    <row r="7" spans="1:5" ht="17" thickTop="1" x14ac:dyDescent="0.2">
      <c r="B7" s="27" t="s">
        <v>187</v>
      </c>
      <c r="C7" s="27"/>
      <c r="D7" s="27"/>
      <c r="E7" s="27"/>
    </row>
    <row r="8" spans="1:5" x14ac:dyDescent="0.2">
      <c r="B8" s="10"/>
      <c r="C8" s="10"/>
      <c r="D8" s="10"/>
      <c r="E8" s="10"/>
    </row>
    <row r="9" spans="1:5" ht="18" thickBot="1" x14ac:dyDescent="0.25">
      <c r="B9" s="2" t="s">
        <v>0</v>
      </c>
      <c r="C9" s="2"/>
      <c r="D9" s="2"/>
      <c r="E9" s="2"/>
    </row>
    <row r="10" spans="1:5" ht="18" thickTop="1" thickBot="1" x14ac:dyDescent="0.25">
      <c r="B10" s="6" t="s">
        <v>10</v>
      </c>
      <c r="C10" s="6" t="s">
        <v>11</v>
      </c>
      <c r="D10" s="6" t="s">
        <v>12</v>
      </c>
      <c r="E10" s="6" t="s">
        <v>16</v>
      </c>
    </row>
    <row r="11" spans="1:5" x14ac:dyDescent="0.2">
      <c r="B11" s="12" t="s">
        <v>1</v>
      </c>
      <c r="C11" s="11" t="s">
        <v>2</v>
      </c>
      <c r="D11" s="12"/>
      <c r="E11" s="7"/>
    </row>
    <row r="12" spans="1:5" ht="17" x14ac:dyDescent="0.2">
      <c r="B12" s="12" t="s">
        <v>146</v>
      </c>
      <c r="C12" s="11">
        <v>50</v>
      </c>
      <c r="D12" s="12" t="s">
        <v>6</v>
      </c>
      <c r="E12" s="7" t="s">
        <v>133</v>
      </c>
    </row>
    <row r="13" spans="1:5" ht="17" x14ac:dyDescent="0.2">
      <c r="B13" s="12" t="s">
        <v>150</v>
      </c>
      <c r="C13" s="11">
        <v>1.3</v>
      </c>
      <c r="D13" s="12" t="s">
        <v>6</v>
      </c>
      <c r="E13" s="7" t="s">
        <v>133</v>
      </c>
    </row>
    <row r="14" spans="1:5" ht="17" x14ac:dyDescent="0.2">
      <c r="B14" s="12" t="s">
        <v>151</v>
      </c>
      <c r="C14" s="11">
        <v>1.8E-3</v>
      </c>
      <c r="D14" s="14" t="s">
        <v>8</v>
      </c>
      <c r="E14" s="7" t="s">
        <v>133</v>
      </c>
    </row>
    <row r="15" spans="1:5" x14ac:dyDescent="0.2">
      <c r="B15" s="12" t="s">
        <v>149</v>
      </c>
      <c r="C15" s="16">
        <v>0.1</v>
      </c>
      <c r="D15" s="12" t="s">
        <v>8</v>
      </c>
      <c r="E15" s="7"/>
    </row>
    <row r="16" spans="1:5" x14ac:dyDescent="0.2">
      <c r="B16" s="12" t="s">
        <v>156</v>
      </c>
      <c r="C16" s="16">
        <v>4700</v>
      </c>
      <c r="D16" s="14" t="s">
        <v>7</v>
      </c>
      <c r="E16" s="7"/>
    </row>
    <row r="17" spans="2:5" x14ac:dyDescent="0.2">
      <c r="B17" s="12" t="s">
        <v>157</v>
      </c>
      <c r="C17" s="16">
        <v>47000</v>
      </c>
      <c r="D17" s="14" t="s">
        <v>7</v>
      </c>
      <c r="E17" s="7"/>
    </row>
    <row r="18" spans="2:5" x14ac:dyDescent="0.2">
      <c r="B18" s="12"/>
      <c r="C18" s="12"/>
      <c r="D18" s="12"/>
    </row>
    <row r="19" spans="2:5" ht="18" thickBot="1" x14ac:dyDescent="0.25">
      <c r="B19" s="2" t="s">
        <v>20</v>
      </c>
      <c r="C19" s="2"/>
      <c r="D19" s="2"/>
      <c r="E19" s="2"/>
    </row>
    <row r="20" spans="2:5" ht="18" thickTop="1" thickBot="1" x14ac:dyDescent="0.25">
      <c r="B20" s="6" t="s">
        <v>33</v>
      </c>
      <c r="C20" s="6" t="s">
        <v>34</v>
      </c>
      <c r="D20" s="6"/>
      <c r="E20" s="6" t="s">
        <v>9</v>
      </c>
    </row>
    <row r="21" spans="2:5" x14ac:dyDescent="0.2">
      <c r="B21" s="12" t="s">
        <v>148</v>
      </c>
      <c r="C21" t="b">
        <f>C12&gt;Project!C8</f>
        <v>1</v>
      </c>
      <c r="E21" t="s">
        <v>155</v>
      </c>
    </row>
    <row r="22" spans="2:5" ht="34" x14ac:dyDescent="0.2">
      <c r="B22" s="11" t="s">
        <v>153</v>
      </c>
      <c r="C22" s="13" t="b">
        <f>C13&lt;Project!C10</f>
        <v>1</v>
      </c>
      <c r="E22" s="7" t="s">
        <v>36</v>
      </c>
    </row>
    <row r="23" spans="2:5" ht="34" x14ac:dyDescent="0.2">
      <c r="B23" s="11" t="s">
        <v>152</v>
      </c>
      <c r="C23" s="13" t="b">
        <f>C30&lt;C15</f>
        <v>1</v>
      </c>
      <c r="E23" s="7" t="s">
        <v>154</v>
      </c>
    </row>
    <row r="24" spans="2:5" ht="17" x14ac:dyDescent="0.2">
      <c r="B24" s="11" t="s">
        <v>144</v>
      </c>
      <c r="C24" s="13" t="b">
        <f>C30&lt;(1/8)</f>
        <v>1</v>
      </c>
      <c r="E24" s="7" t="s">
        <v>143</v>
      </c>
    </row>
    <row r="25" spans="2:5" ht="34" x14ac:dyDescent="0.2">
      <c r="B25" s="11" t="s">
        <v>159</v>
      </c>
      <c r="C25" s="13" t="b">
        <f>C31&lt;PIC18F16Q40!C11</f>
        <v>1</v>
      </c>
      <c r="E25" s="7" t="s">
        <v>160</v>
      </c>
    </row>
    <row r="27" spans="2:5" ht="18" thickBot="1" x14ac:dyDescent="0.25">
      <c r="B27" s="2" t="s">
        <v>15</v>
      </c>
      <c r="C27" s="2"/>
      <c r="D27" s="2"/>
      <c r="E27" s="2"/>
    </row>
    <row r="28" spans="2:5" ht="18" thickTop="1" thickBot="1" x14ac:dyDescent="0.25">
      <c r="B28" s="6" t="s">
        <v>45</v>
      </c>
      <c r="C28" s="6" t="s">
        <v>40</v>
      </c>
      <c r="D28" s="6" t="s">
        <v>12</v>
      </c>
      <c r="E28" s="6" t="s">
        <v>9</v>
      </c>
    </row>
    <row r="29" spans="2:5" ht="34" x14ac:dyDescent="0.2">
      <c r="B29" s="12" t="s">
        <v>140</v>
      </c>
      <c r="C29" s="15">
        <f>Project!C8/C35</f>
        <v>3.2967032967032967E-3</v>
      </c>
      <c r="D29" s="14" t="s">
        <v>8</v>
      </c>
      <c r="E29" s="7" t="s">
        <v>141</v>
      </c>
    </row>
    <row r="30" spans="2:5" ht="17" x14ac:dyDescent="0.2">
      <c r="B30" s="12" t="s">
        <v>142</v>
      </c>
      <c r="C30" s="15">
        <f>Project!C8 * C29</f>
        <v>9.8901098901098897E-2</v>
      </c>
      <c r="D30" s="14" t="s">
        <v>94</v>
      </c>
      <c r="E30" s="7" t="s">
        <v>139</v>
      </c>
    </row>
    <row r="31" spans="2:5" ht="51" x14ac:dyDescent="0.2">
      <c r="B31" s="12" t="s">
        <v>124</v>
      </c>
      <c r="C31" s="15">
        <f>(Project!C10/(C16+C17)) + C14</f>
        <v>1.8967117988394583E-3</v>
      </c>
      <c r="D31" s="14" t="s">
        <v>8</v>
      </c>
      <c r="E31" s="7" t="s">
        <v>158</v>
      </c>
    </row>
    <row r="33" spans="2:5" ht="18" thickBot="1" x14ac:dyDescent="0.25">
      <c r="B33" s="2" t="s">
        <v>44</v>
      </c>
      <c r="C33" s="2"/>
      <c r="D33" s="2"/>
      <c r="E33" s="2"/>
    </row>
    <row r="34" spans="2:5" ht="18" thickTop="1" thickBot="1" x14ac:dyDescent="0.25">
      <c r="B34" s="6" t="s">
        <v>78</v>
      </c>
      <c r="C34" s="6" t="s">
        <v>11</v>
      </c>
      <c r="D34" s="6" t="s">
        <v>12</v>
      </c>
      <c r="E34" s="6" t="s">
        <v>9</v>
      </c>
    </row>
    <row r="35" spans="2:5" ht="34" x14ac:dyDescent="0.2">
      <c r="B35" s="12" t="s">
        <v>131</v>
      </c>
      <c r="C35" s="12">
        <f>PIC18F16Q40!C43</f>
        <v>9100</v>
      </c>
      <c r="D35" s="14" t="s">
        <v>7</v>
      </c>
      <c r="E35" s="7" t="s">
        <v>130</v>
      </c>
    </row>
    <row r="36" spans="2:5" x14ac:dyDescent="0.2">
      <c r="B36" s="12"/>
      <c r="C36" s="12"/>
      <c r="D36" s="14"/>
      <c r="E36" s="7"/>
    </row>
    <row r="37" spans="2:5" x14ac:dyDescent="0.2">
      <c r="B37" s="12"/>
      <c r="C37" s="12"/>
      <c r="D37" s="14"/>
      <c r="E37" s="7"/>
    </row>
    <row r="39" spans="2:5" ht="18" thickBot="1" x14ac:dyDescent="0.25">
      <c r="B39" s="2" t="s">
        <v>49</v>
      </c>
      <c r="C39" s="2"/>
      <c r="D39" s="2"/>
      <c r="E39" s="2"/>
    </row>
    <row r="40" spans="2:5" ht="17" thickTop="1" x14ac:dyDescent="0.2"/>
  </sheetData>
  <mergeCells count="2">
    <mergeCell ref="B4:E4"/>
    <mergeCell ref="B7:E7"/>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Project</vt:lpstr>
      <vt:lpstr>ME6203A50M3G</vt:lpstr>
      <vt:lpstr>PIC18F16Q40</vt:lpstr>
      <vt:lpstr>2N7002</vt:lpstr>
      <vt:lpstr>F0F F0R</vt:lpstr>
      <vt:lpstr>Diag LEDs</vt:lpstr>
      <vt:lpstr>DMN6140</vt:lpstr>
      <vt:lpstr>SI2309</vt:lpstr>
      <vt:lpstr>DTC143ZCA</vt:lpstr>
      <vt:lpstr>BackEMF</vt:lpstr>
      <vt:lpstr>Dummy 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Bicknell</dc:creator>
  <cp:lastModifiedBy>Leo Bicknell</cp:lastModifiedBy>
  <dcterms:created xsi:type="dcterms:W3CDTF">2023-09-17T17:44:47Z</dcterms:created>
  <dcterms:modified xsi:type="dcterms:W3CDTF">2023-09-18T14:58:02Z</dcterms:modified>
</cp:coreProperties>
</file>