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bicknell/Documents/DCC Reference Implementation/main/DCC-Mobile-Decoder/hardware/reference/Breadboard-1/"/>
    </mc:Choice>
  </mc:AlternateContent>
  <xr:revisionPtr revIDLastSave="0" documentId="13_ncr:1_{F2C4DF94-D77F-BC48-B62F-0898B1BB646F}" xr6:coauthVersionLast="47" xr6:coauthVersionMax="47" xr10:uidLastSave="{00000000-0000-0000-0000-000000000000}"/>
  <bookViews>
    <workbookView xWindow="5820" yWindow="4660" windowWidth="26680" windowHeight="20320" activeTab="4" xr2:uid="{E2FDA5F7-4457-0342-8592-4B5131180552}"/>
  </bookViews>
  <sheets>
    <sheet name="Project" sheetId="1" r:id="rId1"/>
    <sheet name="Power Supply" sheetId="22" r:id="rId2"/>
    <sheet name="Processor" sheetId="3" r:id="rId3"/>
    <sheet name="DCC Signal" sheetId="17" r:id="rId4"/>
    <sheet name="Motor Drive" sheetId="11" r:id="rId5"/>
    <sheet name="F0F-F0R" sheetId="8" r:id="rId6"/>
    <sheet name="Function Outputs" sheetId="2" r:id="rId7"/>
    <sheet name="Diag LEDs" sheetId="14" r:id="rId8"/>
    <sheet name="External" sheetId="21" r:id="rId9"/>
    <sheet name="Dummy Load"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11" l="1"/>
  <c r="C64" i="11" s="1"/>
  <c r="C62" i="11"/>
  <c r="C43" i="11" s="1"/>
  <c r="C60" i="11"/>
  <c r="C42" i="11" s="1"/>
  <c r="C55" i="11"/>
  <c r="C57" i="11" s="1"/>
  <c r="C38" i="11" s="1"/>
  <c r="C54" i="11"/>
  <c r="A55" i="11"/>
  <c r="A58" i="11" s="1"/>
  <c r="A59" i="11" s="1"/>
  <c r="A60" i="11" s="1"/>
  <c r="A61" i="11" s="1"/>
  <c r="A62" i="11" s="1"/>
  <c r="A63" i="11" s="1"/>
  <c r="A64" i="11" s="1"/>
  <c r="C47" i="11"/>
  <c r="C37" i="11"/>
  <c r="A42" i="22"/>
  <c r="A43" i="22" s="1"/>
  <c r="C41" i="22"/>
  <c r="C42" i="22" s="1"/>
  <c r="C36" i="22"/>
  <c r="C33" i="22"/>
  <c r="A31" i="22"/>
  <c r="A32" i="22" s="1"/>
  <c r="A33" i="22" s="1"/>
  <c r="A34" i="22" s="1"/>
  <c r="A35" i="22" s="1"/>
  <c r="A36" i="22" s="1"/>
  <c r="A37" i="22" s="1"/>
  <c r="C30" i="22"/>
  <c r="A36" i="17"/>
  <c r="A35" i="17"/>
  <c r="A34" i="17"/>
  <c r="A46" i="17"/>
  <c r="C59" i="11"/>
  <c r="C49" i="11" s="1"/>
  <c r="C41" i="11"/>
  <c r="C61" i="11"/>
  <c r="C44" i="11" s="1"/>
  <c r="C40" i="11"/>
  <c r="C34" i="17"/>
  <c r="C25" i="17" s="1"/>
  <c r="C33" i="17"/>
  <c r="C24" i="17" s="1"/>
  <c r="C23" i="17"/>
  <c r="A24" i="17"/>
  <c r="A25" i="17" s="1"/>
  <c r="A26" i="17" s="1"/>
  <c r="A27" i="17" s="1"/>
  <c r="A28" i="17" s="1"/>
  <c r="A29" i="17" s="1"/>
  <c r="A38" i="11"/>
  <c r="A39" i="11" s="1"/>
  <c r="A40" i="11" s="1"/>
  <c r="C58" i="11"/>
  <c r="C48" i="11"/>
  <c r="C45" i="11"/>
  <c r="C28" i="16"/>
  <c r="A28" i="16"/>
  <c r="C25" i="16"/>
  <c r="C18" i="16" s="1"/>
  <c r="C24" i="16"/>
  <c r="C26" i="16" s="1"/>
  <c r="C20" i="16" s="1"/>
  <c r="A25" i="16"/>
  <c r="A26" i="16" s="1"/>
  <c r="A27" i="16" s="1"/>
  <c r="A19" i="16"/>
  <c r="A20" i="16" s="1"/>
  <c r="A37" i="14"/>
  <c r="A38" i="14" s="1"/>
  <c r="A39" i="14" s="1"/>
  <c r="A40" i="14" s="1"/>
  <c r="A41" i="14" s="1"/>
  <c r="A42" i="14" s="1"/>
  <c r="A43" i="14" s="1"/>
  <c r="A44" i="14" s="1"/>
  <c r="A45" i="14" s="1"/>
  <c r="A46" i="14" s="1"/>
  <c r="A47" i="14" s="1"/>
  <c r="A48" i="14" s="1"/>
  <c r="A49" i="14" s="1"/>
  <c r="A27" i="14"/>
  <c r="A28" i="14" s="1"/>
  <c r="A29" i="14" s="1"/>
  <c r="A30" i="14" s="1"/>
  <c r="A31" i="14" s="1"/>
  <c r="A32" i="14" s="1"/>
  <c r="A26" i="14"/>
  <c r="C47" i="14"/>
  <c r="C46" i="14"/>
  <c r="C45" i="14"/>
  <c r="C44" i="14"/>
  <c r="C49" i="14" s="1"/>
  <c r="C32" i="14" s="1"/>
  <c r="C43" i="14"/>
  <c r="C42" i="14"/>
  <c r="C38" i="14"/>
  <c r="C37" i="14"/>
  <c r="C36" i="14"/>
  <c r="C29" i="2"/>
  <c r="C30" i="2" s="1"/>
  <c r="C25" i="2" s="1"/>
  <c r="C24" i="8"/>
  <c r="A22" i="2"/>
  <c r="A23" i="2" s="1"/>
  <c r="A24" i="2" s="1"/>
  <c r="A25" i="2" s="1"/>
  <c r="C22" i="8"/>
  <c r="A23" i="8"/>
  <c r="A24" i="8" s="1"/>
  <c r="A25" i="8" s="1"/>
  <c r="C36" i="3"/>
  <c r="C37" i="3" s="1"/>
  <c r="C31" i="3" s="1"/>
  <c r="A29" i="3"/>
  <c r="A30" i="3" s="1"/>
  <c r="A31" i="3" s="1"/>
  <c r="A36" i="3"/>
  <c r="A37" i="3" s="1"/>
  <c r="C28" i="3"/>
  <c r="C29" i="3"/>
  <c r="C21" i="3"/>
  <c r="C22" i="3"/>
  <c r="C41" i="14"/>
  <c r="C40" i="14"/>
  <c r="C39" i="14"/>
  <c r="C23" i="8"/>
  <c r="C46" i="11"/>
  <c r="C22" i="2"/>
  <c r="C21" i="2"/>
  <c r="C23" i="2"/>
  <c r="C56" i="11" l="1"/>
  <c r="C39" i="11" s="1"/>
  <c r="A41" i="11"/>
  <c r="A42" i="11" s="1"/>
  <c r="A43" i="11" s="1"/>
  <c r="A44" i="11" s="1"/>
  <c r="C48" i="22"/>
  <c r="C47" i="22"/>
  <c r="C35" i="22"/>
  <c r="C31" i="22"/>
  <c r="A45" i="22"/>
  <c r="A46" i="22" s="1"/>
  <c r="A47" i="22" s="1"/>
  <c r="A48" i="22" s="1"/>
  <c r="A44" i="22"/>
  <c r="C43" i="22"/>
  <c r="C24" i="2"/>
  <c r="C35" i="3"/>
  <c r="C50" i="11"/>
  <c r="A45" i="11"/>
  <c r="A46" i="11" s="1"/>
  <c r="C36" i="17"/>
  <c r="C29" i="17" s="1"/>
  <c r="C35" i="17"/>
  <c r="C28" i="17" s="1"/>
  <c r="C26" i="17"/>
  <c r="C27" i="17"/>
  <c r="C48" i="14"/>
  <c r="C31" i="14" s="1"/>
  <c r="C25" i="8"/>
  <c r="C25" i="14"/>
  <c r="C18" i="8"/>
  <c r="C27" i="16"/>
  <c r="C19" i="16"/>
  <c r="C27" i="14"/>
  <c r="C29" i="14"/>
  <c r="C26" i="14"/>
  <c r="C30" i="14"/>
  <c r="C28" i="14"/>
  <c r="C17" i="8"/>
  <c r="A47" i="11" l="1"/>
  <c r="A48" i="11" s="1"/>
  <c r="A49" i="11" s="1"/>
  <c r="A50" i="11" s="1"/>
  <c r="C46" i="22"/>
  <c r="C37" i="22" s="1"/>
  <c r="C45" i="22"/>
  <c r="C44" i="22"/>
  <c r="C30" i="3"/>
  <c r="C32" i="22" l="1"/>
  <c r="C34" i="22"/>
</calcChain>
</file>

<file path=xl/sharedStrings.xml><?xml version="1.0" encoding="utf-8"?>
<sst xmlns="http://schemas.openxmlformats.org/spreadsheetml/2006/main" count="959" uniqueCount="419">
  <si>
    <t>Properties</t>
  </si>
  <si>
    <t>SOT-23</t>
  </si>
  <si>
    <t>Vdss</t>
  </si>
  <si>
    <t>Rds(on)</t>
  </si>
  <si>
    <t>Id</t>
  </si>
  <si>
    <t>Volts</t>
  </si>
  <si>
    <t>Ω</t>
  </si>
  <si>
    <t>Amps</t>
  </si>
  <si>
    <t>Description</t>
  </si>
  <si>
    <t>Name</t>
  </si>
  <si>
    <t>Value</t>
  </si>
  <si>
    <t>Unit</t>
  </si>
  <si>
    <t>The 2N7002 NPN MOSFET is a widely copied "logic level" MOSFET designed to be turned on and off by a digital circuit.  Typically Vdss is 60V, Vgs(th) is 2.5v, and Id is at least 100ma at maximum temperature mounted to normal FR4.  It is not unusual to find enhanced versions of this part with increased current capability.  Typically available in SOT-23, SOT-323, SOT-523, and DFN packages.</t>
  </si>
  <si>
    <t>Calculations</t>
  </si>
  <si>
    <t>Comment</t>
  </si>
  <si>
    <t>Ciss(max)</t>
  </si>
  <si>
    <t>Vgs(th, max)</t>
  </si>
  <si>
    <t>Rg</t>
  </si>
  <si>
    <t>Validations</t>
  </si>
  <si>
    <t>Project Requirements</t>
  </si>
  <si>
    <t>DCC V(max)</t>
  </si>
  <si>
    <t>DCC V(min)</t>
  </si>
  <si>
    <t>µC V</t>
  </si>
  <si>
    <t>Maximum function current supported.</t>
  </si>
  <si>
    <t>Operating voltage of the µC.</t>
  </si>
  <si>
    <t>Vdss &gt; DCC (max)</t>
  </si>
  <si>
    <t>Or greater.</t>
  </si>
  <si>
    <t>Typical.</t>
  </si>
  <si>
    <t>If</t>
  </si>
  <si>
    <t>Id &gt; If</t>
  </si>
  <si>
    <t>Vgs &lt; µC V</t>
  </si>
  <si>
    <t>Check</t>
  </si>
  <si>
    <t>TRUE/FALSE</t>
  </si>
  <si>
    <t>D-&gt;S voltage higher than maximum DCC voltage.</t>
  </si>
  <si>
    <t>Gate threshold voltage below µC operating voltage.</t>
  </si>
  <si>
    <t>Maxium current higher than project specification.</t>
  </si>
  <si>
    <t>Circuit Usage</t>
  </si>
  <si>
    <t>Calaculation</t>
  </si>
  <si>
    <t>PIC18F16Q40</t>
  </si>
  <si>
    <t>Minimum value to stay within spec.</t>
  </si>
  <si>
    <t>Selections</t>
  </si>
  <si>
    <t>Parameter</t>
  </si>
  <si>
    <t>Max Gate I</t>
  </si>
  <si>
    <t>Max inrush, based on selected value.</t>
  </si>
  <si>
    <t>Notes</t>
  </si>
  <si>
    <t>Max Gate I &lt; Igpio (max)</t>
  </si>
  <si>
    <t>Gate resistor keeps current below µC max.</t>
  </si>
  <si>
    <t>Max Total I</t>
  </si>
  <si>
    <t>Max Total I &lt; Iall(max)</t>
  </si>
  <si>
    <t>Check that all functions together are below the µC total output current.</t>
  </si>
  <si>
    <t>Vout</t>
  </si>
  <si>
    <t>Vdd Imax</t>
  </si>
  <si>
    <t>47.1 Absolute Maximum Ratings</t>
  </si>
  <si>
    <t>Capacitor rated for higher than max voltage.</t>
  </si>
  <si>
    <t>Component</t>
  </si>
  <si>
    <t>47.3.1 Supply Voltage Param. No. D002</t>
  </si>
  <si>
    <t>Vih TTL Buffer</t>
  </si>
  <si>
    <t>47.3.4 I/O Ports Param. No. D320</t>
  </si>
  <si>
    <t>Vil TTL  Buffer</t>
  </si>
  <si>
    <t>47.3.4 I/O Ports Param. No. D300</t>
  </si>
  <si>
    <t>Max OverDrive</t>
  </si>
  <si>
    <t>Vdd is in range of the part.</t>
  </si>
  <si>
    <t>Watts</t>
  </si>
  <si>
    <t>Vdd(min) &lt; Vdd</t>
  </si>
  <si>
    <t>Vdd(max) &gt; Vdd</t>
  </si>
  <si>
    <t>Igpio(max)</t>
  </si>
  <si>
    <t>Iall(max)</t>
  </si>
  <si>
    <t>Vdd(min)</t>
  </si>
  <si>
    <t>Vdd(max)</t>
  </si>
  <si>
    <t>Vforward</t>
  </si>
  <si>
    <t>Imax</t>
  </si>
  <si>
    <t>Current through the LED</t>
  </si>
  <si>
    <t>Pd</t>
  </si>
  <si>
    <t>Power dissipated by LED</t>
  </si>
  <si>
    <t>Id &lt; Imax</t>
  </si>
  <si>
    <t>Columbs</t>
  </si>
  <si>
    <t>DMN6140</t>
  </si>
  <si>
    <t>Max</t>
  </si>
  <si>
    <t>Max @70C</t>
  </si>
  <si>
    <t>Maximum current across decoder.</t>
  </si>
  <si>
    <t>1/8 Watt resistors sufficient.</t>
  </si>
  <si>
    <t>DTC143ZCA</t>
  </si>
  <si>
    <t>Vcc</t>
  </si>
  <si>
    <t>Io(max)</t>
  </si>
  <si>
    <t>Vi(on)</t>
  </si>
  <si>
    <t>Ii(max)</t>
  </si>
  <si>
    <t>Check that we are in-range with the voltage divider.</t>
  </si>
  <si>
    <t>R(min)</t>
  </si>
  <si>
    <t>R(max)</t>
  </si>
  <si>
    <t>Resistor value for Imax current.</t>
  </si>
  <si>
    <t>Resistor value for 0.001A current.</t>
  </si>
  <si>
    <t>Current is within the LED limit.</t>
  </si>
  <si>
    <t>R22</t>
  </si>
  <si>
    <t>R21</t>
  </si>
  <si>
    <t>R31-R32</t>
  </si>
  <si>
    <t>Farads</t>
  </si>
  <si>
    <t>C21</t>
  </si>
  <si>
    <t>Current through LED @Vdcc(max).</t>
  </si>
  <si>
    <t>Current through LED @Vdcc(min).</t>
  </si>
  <si>
    <t>Power dissipated by LED @Vdcc(max).</t>
  </si>
  <si>
    <t>At least 1ma to light the LED properly.</t>
  </si>
  <si>
    <t>Dummy Load</t>
  </si>
  <si>
    <t>Vforward(white)</t>
  </si>
  <si>
    <t>Vforward(red)</t>
  </si>
  <si>
    <t>Vforward(green)</t>
  </si>
  <si>
    <t>R(white,min) @Vdcc(max)</t>
  </si>
  <si>
    <t>R(white,max) @Vdcc(min)</t>
  </si>
  <si>
    <t>R(red,min) @Vdcc(max)</t>
  </si>
  <si>
    <t>R(red,max) @Vdcc(min)</t>
  </si>
  <si>
    <t>R(greem,min) @Vdcc(max)</t>
  </si>
  <si>
    <t>R(green,max) @Vdcc(min)</t>
  </si>
  <si>
    <t>Id(white)@Vdcc(max) &lt; Imax</t>
  </si>
  <si>
    <t>Id(white)@Vdcc(min) &gt; 1ma</t>
  </si>
  <si>
    <t>Id(red)@Vdcc(max) &lt; Imax</t>
  </si>
  <si>
    <t>Id(red)@Vdcc(min) &gt; 1ma</t>
  </si>
  <si>
    <t>Id(green)@Vdcc(max) &lt; Imax</t>
  </si>
  <si>
    <t>Id(green)@Vdcc(min) &gt; 1ma</t>
  </si>
  <si>
    <t>Id(white) @Vdcc(max)</t>
  </si>
  <si>
    <t>Id(white) @Vdcc(min)</t>
  </si>
  <si>
    <t>Id(red) @Vdcc(max)</t>
  </si>
  <si>
    <t>Id(red) @Vdcc(min)</t>
  </si>
  <si>
    <t>Id(green) @Vdcc(max)</t>
  </si>
  <si>
    <t>Id(green) @Vdcc(min)</t>
  </si>
  <si>
    <t>C11</t>
  </si>
  <si>
    <t>Passive circuitry to provide a dummy load to the motor driver to enable DCC readback when no motor is connected for development purposes.</t>
  </si>
  <si>
    <t>Imin</t>
  </si>
  <si>
    <t>Ireadback</t>
  </si>
  <si>
    <t>NMRA Minimum Readback Pulse</t>
  </si>
  <si>
    <t>Current @Vdcc(min)</t>
  </si>
  <si>
    <t>Current @Vdcc(max)</t>
  </si>
  <si>
    <t>Current greater than the project requirement.</t>
  </si>
  <si>
    <t>Ireadback &gt;= Imin</t>
  </si>
  <si>
    <t>P(max)</t>
  </si>
  <si>
    <t>P(min)</t>
  </si>
  <si>
    <t>Ir(steady)</t>
  </si>
  <si>
    <t>Ir(pulse)</t>
  </si>
  <si>
    <t>Imax &lt; Ir(steady)</t>
  </si>
  <si>
    <t>Pr</t>
  </si>
  <si>
    <t>Maxium steady state current.</t>
  </si>
  <si>
    <t>Maximum pulsed current.</t>
  </si>
  <si>
    <t>Maximum power dissipation.</t>
  </si>
  <si>
    <t>P(max) &lt; Pr</t>
  </si>
  <si>
    <t>Power dissipation is within in the Resistor's tolerance.  See note #1.</t>
  </si>
  <si>
    <t>If every output simultaneously has maximum current.</t>
  </si>
  <si>
    <t>Iall(max) &gt; Potential Imax</t>
  </si>
  <si>
    <t>Current of all outputs simultanously is below chip maximum.</t>
  </si>
  <si>
    <t>Vdif</t>
  </si>
  <si>
    <t>Maximum voltage drop for diodes at 1A.</t>
  </si>
  <si>
    <t>Dropout Voltage of the Regulator.</t>
  </si>
  <si>
    <t>Maxium input voltage.</t>
  </si>
  <si>
    <t>Minimum input voltage.</t>
  </si>
  <si>
    <t>Output voltage (fixed).</t>
  </si>
  <si>
    <t>Maximum current output.</t>
  </si>
  <si>
    <t>Bdrop(max)</t>
  </si>
  <si>
    <t>Maximum voltage drop across the bridge.</t>
  </si>
  <si>
    <t>Current in &gt; 1ma to light.</t>
  </si>
  <si>
    <t>Id &gt;= 0.001</t>
  </si>
  <si>
    <t>Idd(max)</t>
  </si>
  <si>
    <t>47.3.2 Supply Current (max value in table)</t>
  </si>
  <si>
    <t>Iout(max)</t>
  </si>
  <si>
    <t>Seconds</t>
  </si>
  <si>
    <t>Ref</t>
  </si>
  <si>
    <t>U11</t>
  </si>
  <si>
    <t>No</t>
  </si>
  <si>
    <t>Vin(max)</t>
  </si>
  <si>
    <t>Iout(max) &gt; Vdd I(max)</t>
  </si>
  <si>
    <t>Vin(min)</t>
  </si>
  <si>
    <t>Vdrive(max)</t>
  </si>
  <si>
    <t>Vdrive(min)</t>
  </si>
  <si>
    <t>Vdrive maximum voltage.</t>
  </si>
  <si>
    <t>Vdrive minimum voltage.</t>
  </si>
  <si>
    <t>Maximum repeated reverse voltage.</t>
  </si>
  <si>
    <t>Vrev(max)</t>
  </si>
  <si>
    <t>Diodes rated to hadle reverse track voltage.</t>
  </si>
  <si>
    <t>Regulator input rated to work at Vdrive(min).</t>
  </si>
  <si>
    <t>Regulator input rated higher than Vdrive(max).</t>
  </si>
  <si>
    <t>At Vdrive(min) the regulator can supply the desired output voltage.</t>
  </si>
  <si>
    <t>Maximum voltage of capacitor.</t>
  </si>
  <si>
    <t>Capacitance.</t>
  </si>
  <si>
    <t>Capacitor rated for output voltage.</t>
  </si>
  <si>
    <t>Tdis(min)</t>
  </si>
  <si>
    <t>Tdis(typ)</t>
  </si>
  <si>
    <t>Check that the capacitor can hold up the signal for longer than the maximum expected drop out time.</t>
  </si>
  <si>
    <t>DCC dropout</t>
  </si>
  <si>
    <t>NMRA Maximum Track Voltage is 27v, the project should be designed with some headroom.</t>
  </si>
  <si>
    <t>NMRA Minimum Track Voltage is 7 volts, the project should be designed with some headroom.</t>
  </si>
  <si>
    <t>The maximum duration of the no-power time when the DCC signal switches polarity.</t>
  </si>
  <si>
    <t>Tdis(min) &gt; DCC dropout</t>
  </si>
  <si>
    <t>Size</t>
  </si>
  <si>
    <t>Sub</t>
  </si>
  <si>
    <t>Y</t>
  </si>
  <si>
    <t>SOD-323</t>
  </si>
  <si>
    <t>40V, 1A Schottky barrier rectifier diode</t>
  </si>
  <si>
    <t>C12</t>
  </si>
  <si>
    <t>C11_C</t>
  </si>
  <si>
    <t>C12_V</t>
  </si>
  <si>
    <t>C12_C</t>
  </si>
  <si>
    <t>10% discharge time for C11 @Vdrive(min) w/10ma draw.</t>
  </si>
  <si>
    <t>10% discharge time for C11 @Vdrive(min) at the PIC max current draw.</t>
  </si>
  <si>
    <t>PIC18-Q40 is a compact, high performance PIC18 product family for real-time control and sensor applications . The products are equipped with an 12-bit ADC with Computation, 8-bit DACs, 16-bit PWMs, Direct Memory Access, Configurable Logic Cells and multiple communication interfaces. The PIC18-Q40 offers 14- and 20-pin products in small footprint packages to support customers in a wide range of space constrained applications.</t>
  </si>
  <si>
    <t>Num</t>
  </si>
  <si>
    <t>U21</t>
  </si>
  <si>
    <t>Power Supply</t>
  </si>
  <si>
    <t>Processor</t>
  </si>
  <si>
    <t>C22</t>
  </si>
  <si>
    <t>MCLR hold up capacitor, value not critical.</t>
  </si>
  <si>
    <t>Farad</t>
  </si>
  <si>
    <t>U21 Section 4.2.1 recommended value.</t>
  </si>
  <si>
    <t>U21 Section 4.3 recommended value.</t>
  </si>
  <si>
    <t>C22_C</t>
  </si>
  <si>
    <t>R21_R</t>
  </si>
  <si>
    <t>MPN</t>
  </si>
  <si>
    <t>1N5819WS</t>
  </si>
  <si>
    <t>0805</t>
  </si>
  <si>
    <t>50V 100nF X7R 10%</t>
  </si>
  <si>
    <t>N</t>
  </si>
  <si>
    <t>680 Ω 1% 1/8W</t>
  </si>
  <si>
    <t>9.1K Ω 1% 1/8W</t>
  </si>
  <si>
    <t>SSOP-20</t>
  </si>
  <si>
    <t>PIC18F16Q40T-I/SS</t>
  </si>
  <si>
    <t>Power consumed by MCLR hold up.</t>
  </si>
  <si>
    <t>F0F-F0R</t>
  </si>
  <si>
    <t>Indicator F0F or F0R is on.</t>
  </si>
  <si>
    <t>Bright White, 25ma, Vf 2.9v generic SMD LED used for the headlight and taillight.  Described as a "constant brightness headlight" in the decoder industry as it is driven from the regulated voltage.</t>
  </si>
  <si>
    <t>D61-D62</t>
  </si>
  <si>
    <t>R61-R62</t>
  </si>
  <si>
    <t>R61_R</t>
  </si>
  <si>
    <t>Function Outputs</t>
  </si>
  <si>
    <t>External devices are connected in a common anode (postive) configuration, with each function having a low side MOSFET to turn it on and off.</t>
  </si>
  <si>
    <t>Q71-Q76</t>
  </si>
  <si>
    <t>R71-R76</t>
  </si>
  <si>
    <t>R71_R</t>
  </si>
  <si>
    <t>Max inrush, all 6 in unison.</t>
  </si>
  <si>
    <t>Popular E6 value selected to be in range.</t>
  </si>
  <si>
    <t>Generic Passive Part</t>
  </si>
  <si>
    <t>Most likely R71-R76 are not necessary.  The inrush is so short lived due to the small total gate charge that it is unlikely to damage the micro.  In space-constrained designs omitting these resistors may save board space.</t>
  </si>
  <si>
    <t>D81-D86</t>
  </si>
  <si>
    <t>Bright White, 25ma, Vf 2.9v generic SMD LED are connected to each function.</t>
  </si>
  <si>
    <t>R81-R86</t>
  </si>
  <si>
    <t>D87</t>
  </si>
  <si>
    <t>R81_R</t>
  </si>
  <si>
    <t>R87</t>
  </si>
  <si>
    <t>R87_R</t>
  </si>
  <si>
    <t xml:space="preserve"> These would be omitted on any real decoder and are present to assist in software development only.  These are connected to Vdrive, and thus need to be able to handle the full range of track voltages.</t>
  </si>
  <si>
    <t>Minimum resistor to stay under Imax @Vdcc(max)</t>
  </si>
  <si>
    <t>Maximum resistor to allow at least 1ma @Vdcc(min)</t>
  </si>
  <si>
    <t>Pd(white) @Vdcc(max)</t>
  </si>
  <si>
    <t>Pd(green,red) @Vdcc(max)</t>
  </si>
  <si>
    <t>Pd(white,max) &lt; Pd</t>
  </si>
  <si>
    <t>Pd(red-green,max) &lt; Pd</t>
  </si>
  <si>
    <t>R81-R87</t>
  </si>
  <si>
    <t>3K Ω 1% 1/8W</t>
  </si>
  <si>
    <t>Generic Passive</t>
  </si>
  <si>
    <t>R91</t>
  </si>
  <si>
    <t>R</t>
  </si>
  <si>
    <t>Power @Vdcc(max)</t>
  </si>
  <si>
    <t>Power @Vdcc(min)</t>
  </si>
  <si>
    <t>RC2512JK-7W100RL</t>
  </si>
  <si>
    <t>100Ω 2W 5% 2512</t>
  </si>
  <si>
    <t>Maximum track power where 100% throttle will stay within the resistor power limits.</t>
  </si>
  <si>
    <t>Max Supported Voltage</t>
  </si>
  <si>
    <t>1. It is not practical to source a resistor that can handle a 100% on duty cycle at maximum track voltage.  The goal of this part is to enable DCC readback, which is a series of 60ms pulses, maximum 8 (read back in Direct Mode).  Part is safe on Vdrive voltages up to 14.142, which translates to track voltages of 15.342 volts.  This should cover the typical N and Z voltage levels on most boosters.  The O/G levels with 100% throttle will overdrive the part and damage it.  The user must be cautioned.</t>
  </si>
  <si>
    <t>Q55-Q56</t>
  </si>
  <si>
    <t>Q51-Q52</t>
  </si>
  <si>
    <t>Q53-Q54</t>
  </si>
  <si>
    <t>SL2309</t>
  </si>
  <si>
    <t>Motor Drive</t>
  </si>
  <si>
    <t>R51-R52</t>
  </si>
  <si>
    <t>R53-R54</t>
  </si>
  <si>
    <t>R55-R56</t>
  </si>
  <si>
    <t>R57</t>
  </si>
  <si>
    <t>R51_R</t>
  </si>
  <si>
    <t>R53_R</t>
  </si>
  <si>
    <t>R55_R</t>
  </si>
  <si>
    <t>R57_R</t>
  </si>
  <si>
    <t xml:space="preserve">60V 1.6A P Channel </t>
  </si>
  <si>
    <t>50V 100ma NPN - Pre Biased 4.7K/47K</t>
  </si>
  <si>
    <t>60V 1.6A N Channel</t>
  </si>
  <si>
    <t>Q55_Vdss &gt; DCC (max)</t>
  </si>
  <si>
    <t>Q55_Max Gate I &lt; Igpio (max)</t>
  </si>
  <si>
    <t>Q55_Id &gt; Imax</t>
  </si>
  <si>
    <t>Q55_Minimum Gate Resistor</t>
  </si>
  <si>
    <t>Q55_Igate(max)</t>
  </si>
  <si>
    <t>For the high side of the circuit, the SL2309 is a 60V 1.6A P-Channel MOSFET.  For low side of the circuit the DMN6140 is a 60V, 2.1A N-Channel MOSFET.  Both MOSFETs are designed for power switching applications.  The DTC143ZCA is a pre-biased (4.7K &amp; 47K) "digital transitor" which saves two resistors per transitor.</t>
  </si>
  <si>
    <t>DCC Signal</t>
  </si>
  <si>
    <t>R31</t>
  </si>
  <si>
    <t>R32</t>
  </si>
  <si>
    <t>Q31</t>
  </si>
  <si>
    <t>Q31_Vdss &gt; µC V</t>
  </si>
  <si>
    <t>Vgs @DCC V(max)</t>
  </si>
  <si>
    <t>Vgs @DCC V(min)</t>
  </si>
  <si>
    <t>Q31_Vgs(th_max) &lt; Vgs @DCC V(max)</t>
  </si>
  <si>
    <t>Q31_Vgs(th_max) &lt; Vgs @DCC V(min)</t>
  </si>
  <si>
    <t>Vgs(max)</t>
  </si>
  <si>
    <t>Maximum Drain-Source Voltage</t>
  </si>
  <si>
    <t>Maximum Gate-Source Voltage</t>
  </si>
  <si>
    <t>Maximum gate threshold voltage to turn on.</t>
  </si>
  <si>
    <t>Q31)Vgs(max) &gt; Vgs @DCC V(max)</t>
  </si>
  <si>
    <t>Q31)Vgs(max) &gt; Vgs @DCC V(min)</t>
  </si>
  <si>
    <t>The input pin on the µC MUST be set to input and MUST have the Weak Pull Up enabled.</t>
  </si>
  <si>
    <t>10K Ω 1% 1/8W</t>
  </si>
  <si>
    <t>Check that 1/8W resistors are within limits.</t>
  </si>
  <si>
    <t>Power flowing through the voltage divider resistor</t>
  </si>
  <si>
    <t>R31_P @DCC V(max)</t>
  </si>
  <si>
    <t>R32_P @DCC V(max)</t>
  </si>
  <si>
    <t>R31_P &lt; 1/8W</t>
  </si>
  <si>
    <t>The NMRA requires the decoder to handle a 7-27 volt input signal.  That DCC signal needs to be converted to 3.3V logic level for the µC.</t>
  </si>
  <si>
    <t>R31 &amp; R32 form a voltage divider to lower the track voltage range to the Gate voltage range of a 2N7002 MOSFET.  The MOSFET connects an input pin to ground when on.  When off a weak pull up resistor inside the µC pulls the pin high.</t>
  </si>
  <si>
    <t>External Connectivity</t>
  </si>
  <si>
    <t>Allows connecting to a bread board, an ICSP programmer, a TTL-to-USB serial adapter, and an oscilloscope.</t>
  </si>
  <si>
    <t>J1</t>
  </si>
  <si>
    <t>A 6 pin header designed to fit into a standard breadboard.</t>
  </si>
  <si>
    <t>J2</t>
  </si>
  <si>
    <t>J3</t>
  </si>
  <si>
    <t>An ISCP programming header with the typical pin layout for connecting a programing device like a PICKIT4.</t>
  </si>
  <si>
    <t>J4</t>
  </si>
  <si>
    <t>A 7 pin header that exposes the DCC signal along with the motor drives and BackEMF.  The expected usage is to connect an oscilloscope which is likely necessary for some motor control work.</t>
  </si>
  <si>
    <t>J5</t>
  </si>
  <si>
    <t>A 5 pin header with the typical pin layout of many TTL-to-USB adapters.  This allows a computer to send and receive RS-232 serial data from the uC.</t>
  </si>
  <si>
    <t>0.1" pin headers to connect to external devices.  Headers are supplied unpopulated so the user can populate only the ones needed for their application.</t>
  </si>
  <si>
    <t>R31_R</t>
  </si>
  <si>
    <t>R32_R</t>
  </si>
  <si>
    <t>When the driver transistor is on, gate is brought low to ground, check that Vdrive(min) from the power supply is enough to enable.</t>
  </si>
  <si>
    <t>Q51_Id &gt; Imax</t>
  </si>
  <si>
    <t>Q53_Vcc &gt; Vdcc(max)</t>
  </si>
  <si>
    <t>Q53_I(gate)</t>
  </si>
  <si>
    <t>Q53_I(gate) &lt; Igpio(max)</t>
  </si>
  <si>
    <t>Collector voltage rated higher than maximum DCC voltage.</t>
  </si>
  <si>
    <t>D-&gt;S voltage rated higher than maximum DCC voltage.</t>
  </si>
  <si>
    <t>Rated current is greater than the current drawn by the pullup resistor.</t>
  </si>
  <si>
    <t>Current drawn from the µC pin is within the µC rating.</t>
  </si>
  <si>
    <t>Vbackemf @DCC V(max)</t>
  </si>
  <si>
    <t>Vbackemf(max) &lt; µC V</t>
  </si>
  <si>
    <t>Rbackemf_bottom</t>
  </si>
  <si>
    <t>Maximum voltage created by the BackEMF resistor-dividers.</t>
  </si>
  <si>
    <t>Gate current into the BJT.</t>
  </si>
  <si>
    <t>Maximum voltage on the BackEMF measurement is within range of the ADC on the µC.</t>
  </si>
  <si>
    <t>3.6K Ω 1% 1/8W</t>
  </si>
  <si>
    <t>680 Ω 1% 1/8W</t>
  </si>
  <si>
    <t>470 Ω 1% 1/8W</t>
  </si>
  <si>
    <t>C51-C52</t>
  </si>
  <si>
    <t>C51_C</t>
  </si>
  <si>
    <t>Motor decoupling capacitors.</t>
  </si>
  <si>
    <t>50V 10uF X5R 10%</t>
  </si>
  <si>
    <t>R21_P</t>
  </si>
  <si>
    <t>R21_I</t>
  </si>
  <si>
    <t>R21_P &lt; 1/8W</t>
  </si>
  <si>
    <t>D21</t>
  </si>
  <si>
    <t>Approximate drop at 1ma load per the data sheet graph.</t>
  </si>
  <si>
    <t>Vdrop @1ma</t>
  </si>
  <si>
    <t>D11-D15</t>
  </si>
  <si>
    <t>Vdrop @10ma</t>
  </si>
  <si>
    <t>Vdrop @1A</t>
  </si>
  <si>
    <t>Approximate based on data sheet graph.</t>
  </si>
  <si>
    <t>Vreg_in(min)</t>
  </si>
  <si>
    <t>D11_Vrev(max) = DCC V(max)</t>
  </si>
  <si>
    <t>U11_Vin(max) &gt; Vdrive(max)</t>
  </si>
  <si>
    <t>U11_Vin(min) &lt;= Vreg_in(min)</t>
  </si>
  <si>
    <t>Vreg_in(min) - Vdif &gt;= µC V</t>
  </si>
  <si>
    <t>µC contolling the project.  R21 &amp; C21 form a hold up circuit for the MCLR pin, while D21 protects the rest of the circuit while programming.  During programming Vdd can be raised to 12-13v, and without the diode would backfeed components.  C22 is a decoupling capacitor as recommended by the data sheet.</t>
  </si>
  <si>
    <t>"Analog Mode" on a decoder is where the decoder also works on a DC track.  That is implemented entirely in software.  As we pick up the right rail for the DCC signal, if the DC power is applied to the right rail this signal will be high and represents "forward".  If the uC is powered up and the pin remains low, power must be on the left rail which represents "reverse".  Note that power might be provided by a PWM DC source, so the software should consider a pulsing signal as "forward".</t>
  </si>
  <si>
    <t>High Side Drive P-MOS</t>
  </si>
  <si>
    <t>High Side gate driver BJT.</t>
  </si>
  <si>
    <t>Low Side Drive N-MOS</t>
  </si>
  <si>
    <t>BEMF voltage divider resistors.</t>
  </si>
  <si>
    <t>Gate protection resistors.</t>
  </si>
  <si>
    <t>Most software development can be done without having a motor connected.  However, when programming a board via DCC it is supposed to support "readback" where it pulses 60ma of load on the track to indicate acknowledgement.  So that the user does not have to connect a motor to develop when JP61 is closed a 100 Ohm resistor is put across the motor output.  This allows the board to generate the 60ma pulses, and for readback to function correctly.</t>
  </si>
  <si>
    <t>These are the input electrical requirements as determined by the project specifications.  They are used to validate the circuitry is within specifications.</t>
  </si>
  <si>
    <t>Regulator capabiltiies exceed potential max draw.</t>
  </si>
  <si>
    <t>Vreg_in voltage after passing through D15.</t>
  </si>
  <si>
    <t>SE8633X2-HF is designed for power-sensitive applications. It includes a precision and high voltage input stage, an ultra-low-power bias current branch, and results in a ultra-low-power and low-dropout linear regulator.</t>
  </si>
  <si>
    <t>C13</t>
  </si>
  <si>
    <t>C13_V</t>
  </si>
  <si>
    <t>C13_C</t>
  </si>
  <si>
    <t>C12_V &gt; Vdrive(max)</t>
  </si>
  <si>
    <t>C13_V &gt; U11_Vout</t>
  </si>
  <si>
    <t>Initial inrush current to the capacitor.</t>
  </si>
  <si>
    <t>Icontinuous</t>
  </si>
  <si>
    <t>Amp</t>
  </si>
  <si>
    <t>Isurge</t>
  </si>
  <si>
    <t>Maximum continuous currrent.</t>
  </si>
  <si>
    <t>Maximum surge current.</t>
  </si>
  <si>
    <t>Inrush Resistor Minimum</t>
  </si>
  <si>
    <t>R11</t>
  </si>
  <si>
    <t>R11_R</t>
  </si>
  <si>
    <t>Inrush limiting resistor value.</t>
  </si>
  <si>
    <t>Inrush with selected R11</t>
  </si>
  <si>
    <t>Minimum resistance needed to stay inside D11-D14's max surge rating @Vdrive(max).</t>
  </si>
  <si>
    <t>Regulator to supply power to the µC.  A LDO Linear Regulator is acceptable here because the draw by the µC is very small, &lt; 4ma in general.  The largest draw on the µC is the directly connected LEDs for the F0F/F0R functions.  Diode D15 prevents the motor (Vdrive) from draining capacitor C11 when there is an interruption in power on the track.  Provisions are made for a "super-capacitor" to improve performance when there is poor electrical connectivity to the track.  C11 may be user installed, up to 1 Farad (1000uF) using capacitors with pitch 2.5mm or 5mm up to a diameter of 10mm.</t>
  </si>
  <si>
    <t>Maximum user supplied "super capacitor" supported, DNP.</t>
  </si>
  <si>
    <t>Q51_Vdss &lt; -1 * Vdcc(max)</t>
  </si>
  <si>
    <t>When Q51 is driven low, is Vgs within spec.</t>
  </si>
  <si>
    <t>Q55_Vgs(th, max) &lt; µC V</t>
  </si>
  <si>
    <t>Vgs</t>
  </si>
  <si>
    <t>Q55_Vgs &gt; µC V</t>
  </si>
  <si>
    <t>Q51_Vdivider(max)</t>
  </si>
  <si>
    <t>Q51_Vdivider(min)</t>
  </si>
  <si>
    <t>Hold up &amp; voltage divider top.</t>
  </si>
  <si>
    <t>Voltage divider bottom.</t>
  </si>
  <si>
    <t>Voltage when Q53 is on formed by the R51/Rxx voltage divider.</t>
  </si>
  <si>
    <t>Idivider @DCC V(max)</t>
  </si>
  <si>
    <t>Q53_Io(max) &gt; Idivider @DCC V(max)</t>
  </si>
  <si>
    <t>When Q55 is driven high, is Vgs within spec.</t>
  </si>
  <si>
    <t>Pdivider</t>
  </si>
  <si>
    <t>Current flowing through the voltage divider resistor.</t>
  </si>
  <si>
    <t>Power dissipated by the voltage divider resistors.</t>
  </si>
  <si>
    <t>Pdivider &lt; 1/8W</t>
  </si>
  <si>
    <t>R57-R58</t>
  </si>
  <si>
    <t>R59</t>
  </si>
  <si>
    <t>R59_R</t>
  </si>
  <si>
    <t>Voltage difference applied to the gate @Vdcc(max).</t>
  </si>
  <si>
    <t>Voltage difference applied to the gate @Vdcc(min).</t>
  </si>
  <si>
    <t>Q51_Vgs(diff) @ Vdcc(max)</t>
  </si>
  <si>
    <t>Q51_Vgs(diff) @ Vdcc(min)</t>
  </si>
  <si>
    <t>Q51_Vgs &lt; -1 *Q51_Vgs(diff) @ Vdcc(max)</t>
  </si>
  <si>
    <t>Q51_Vgs(th,max) &gt; Q51_Vgs(diff) @ Vdcc(min)</t>
  </si>
  <si>
    <t>The H-Bridge switches the power to the motor to control direction and speed.  It uses P-Channel MOSFETs for the high side, and N-Channel MOSFETs for the low side.  On the low side the µC voltage is higher than Vgs, and so it can drive the N-Channel MOSFETs directly.</t>
  </si>
  <si>
    <t>BackEMF is measured via a voltage divider, but to make it bidirectional it uses 3 resistors.  One of R57-R58 will be high and one grounded depending on the polarity of the H-Bridge.  Along with R59 they form a voltage divider which is then input to an ADC pin.</t>
  </si>
  <si>
    <t>On the high side, the P-Channel is OFF when Q53/Q54 are off and the R51/R52 pullups keep the gate voltage the same as the source voltage (Vgs=0).  The P-Channel is on when the transitor is on which drops the gate voltage below the drain voltage.  The DCC voltage is also too high for the P-Channel Vgs so a voltage divider is built with R51+R53 and R52+R54.  A BJT Q53/Q54 with built in biasing resistors turn on when the uC pin is high, enabling the voltage divider to turn on the MOSFET.  Using a BJT with built in biasing resistors saves additional resistors on the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</si>
</sst>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0"/>
    <numFmt numFmtId="167" formatCode="0.0"/>
  </numFmts>
  <fonts count="8" x14ac:knownFonts="1">
    <font>
      <sz val="8"/>
      <color theme="1"/>
      <name val="Verdana"/>
      <family val="2"/>
    </font>
    <font>
      <b/>
      <sz val="15"/>
      <color theme="3"/>
      <name val="Calibri"/>
      <family val="2"/>
      <scheme val="minor"/>
    </font>
    <font>
      <b/>
      <sz val="13"/>
      <color theme="3"/>
      <name val="Calibri"/>
      <family val="2"/>
      <scheme val="minor"/>
    </font>
    <font>
      <b/>
      <sz val="11"/>
      <color theme="3"/>
      <name val="Calibri"/>
      <family val="2"/>
      <scheme val="minor"/>
    </font>
    <font>
      <sz val="12"/>
      <color rgb="FF202122"/>
      <name val="Calibri"/>
      <family val="2"/>
      <scheme val="minor"/>
    </font>
    <font>
      <sz val="8"/>
      <color rgb="FFFF0000"/>
      <name val="Verdana"/>
      <family val="2"/>
    </font>
    <font>
      <b/>
      <sz val="11"/>
      <color rgb="FF44546A"/>
      <name val="Calibri"/>
      <family val="2"/>
    </font>
    <font>
      <sz val="8"/>
      <color rgb="FF000000"/>
      <name val="Verdana"/>
      <family val="2"/>
    </font>
  </fonts>
  <fills count="2">
    <fill>
      <patternFill patternType="none"/>
    </fill>
    <fill>
      <patternFill patternType="gray125"/>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int="0.499984740745262"/>
      </top>
      <bottom/>
      <diagonal/>
    </border>
    <border>
      <left/>
      <right/>
      <top style="medium">
        <color theme="4" tint="0.39997558519241921"/>
      </top>
      <bottom/>
      <diagonal/>
    </border>
    <border>
      <left/>
      <right/>
      <top/>
      <bottom style="medium">
        <color rgb="FF8EA9DB"/>
      </bottom>
      <diagonal/>
    </border>
  </borders>
  <cellStyleXfs count="5">
    <xf numFmtId="0" fontId="0" fillId="0" borderId="0">
      <alignment vertical="top"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5" fillId="0" borderId="0" applyNumberFormat="0" applyFill="0" applyBorder="0" applyAlignment="0" applyProtection="0"/>
  </cellStyleXfs>
  <cellXfs count="30">
    <xf numFmtId="0" fontId="0" fillId="0" borderId="0" xfId="0">
      <alignment vertical="top" wrapText="1"/>
    </xf>
    <xf numFmtId="0" fontId="1" fillId="0" borderId="1" xfId="1"/>
    <xf numFmtId="0" fontId="2" fillId="0" borderId="2" xfId="2"/>
    <xf numFmtId="0" fontId="4" fillId="0" borderId="0" xfId="0" applyFont="1">
      <alignment vertical="top" wrapText="1"/>
    </xf>
    <xf numFmtId="0" fontId="3" fillId="0" borderId="3" xfId="3"/>
    <xf numFmtId="0" fontId="0" fillId="0" borderId="0" xfId="0" applyAlignment="1">
      <alignment wrapText="1"/>
    </xf>
    <xf numFmtId="1" fontId="0" fillId="0" borderId="0" xfId="0" applyNumberFormat="1" applyAlignment="1">
      <alignment horizontal="left"/>
    </xf>
    <xf numFmtId="0" fontId="0" fillId="0" borderId="0" xfId="0" applyAlignment="1">
      <alignment horizontal="left" vertical="top" wrapText="1"/>
    </xf>
    <xf numFmtId="0" fontId="0" fillId="0" borderId="0" xfId="0" applyAlignment="1">
      <alignment vertical="top"/>
    </xf>
    <xf numFmtId="0" fontId="2" fillId="0" borderId="2" xfId="2" applyAlignment="1">
      <alignment vertical="top" wrapText="1"/>
    </xf>
    <xf numFmtId="0" fontId="5" fillId="0" borderId="0" xfId="4" applyAlignment="1">
      <alignment vertical="top" wrapText="1"/>
    </xf>
    <xf numFmtId="0" fontId="0" fillId="0" borderId="0" xfId="0" applyAlignment="1">
      <alignment horizontal="right" vertical="top"/>
    </xf>
    <xf numFmtId="165" fontId="0" fillId="0" borderId="0" xfId="0" applyNumberFormat="1">
      <alignment vertical="top" wrapText="1"/>
    </xf>
    <xf numFmtId="0" fontId="0" fillId="0" borderId="0" xfId="0" quotePrefix="1">
      <alignment vertical="top" wrapText="1"/>
    </xf>
    <xf numFmtId="165" fontId="0" fillId="0" borderId="0" xfId="0" applyNumberFormat="1" applyAlignment="1">
      <alignment horizontal="right" vertical="top"/>
    </xf>
    <xf numFmtId="166" fontId="0" fillId="0" borderId="0" xfId="0" applyNumberFormat="1">
      <alignment vertical="top" wrapText="1"/>
    </xf>
    <xf numFmtId="164" fontId="0" fillId="0" borderId="0" xfId="0" applyNumberFormat="1">
      <alignment vertical="top" wrapText="1"/>
    </xf>
    <xf numFmtId="0" fontId="3" fillId="0" borderId="3" xfId="3" applyAlignment="1">
      <alignment vertical="top" wrapText="1"/>
    </xf>
    <xf numFmtId="2" fontId="0" fillId="0" borderId="0" xfId="0" applyNumberFormat="1">
      <alignment vertical="top" wrapText="1"/>
    </xf>
    <xf numFmtId="0" fontId="6" fillId="0" borderId="6" xfId="0" applyFont="1" applyBorder="1" applyAlignment="1"/>
    <xf numFmtId="1" fontId="0" fillId="0" borderId="0" xfId="0" applyNumberFormat="1">
      <alignment vertical="top" wrapText="1"/>
    </xf>
    <xf numFmtId="167" fontId="0" fillId="0" borderId="0" xfId="0" applyNumberFormat="1">
      <alignment vertical="top" wrapText="1"/>
    </xf>
    <xf numFmtId="0" fontId="7" fillId="0" borderId="0" xfId="0" applyFont="1">
      <alignment vertical="top" wrapText="1"/>
    </xf>
    <xf numFmtId="1" fontId="0" fillId="0" borderId="0" xfId="0" applyNumberFormat="1" applyAlignment="1">
      <alignment horizontal="right" vertical="top"/>
    </xf>
    <xf numFmtId="0" fontId="0" fillId="0" borderId="4" xfId="0" applyBorder="1">
      <alignment vertical="top" wrapText="1"/>
    </xf>
    <xf numFmtId="0" fontId="0" fillId="0" borderId="4" xfId="0" applyBorder="1" applyAlignment="1">
      <alignment horizontal="left" vertical="top" wrapText="1"/>
    </xf>
    <xf numFmtId="0" fontId="0" fillId="0" borderId="0" xfId="0">
      <alignment vertical="top" wrapText="1"/>
    </xf>
    <xf numFmtId="0" fontId="5" fillId="0" borderId="5" xfId="4" applyBorder="1" applyAlignment="1">
      <alignment vertical="top" wrapText="1"/>
    </xf>
    <xf numFmtId="0" fontId="0" fillId="0" borderId="5" xfId="0" applyBorder="1">
      <alignment vertical="top" wrapText="1"/>
    </xf>
    <xf numFmtId="0" fontId="5" fillId="0" borderId="0" xfId="4" applyAlignment="1">
      <alignment vertical="top" wrapText="1"/>
    </xf>
  </cellXfs>
  <cellStyles count="5">
    <cellStyle name="Heading 1" xfId="1" builtinId="16"/>
    <cellStyle name="Heading 2" xfId="2" builtinId="17"/>
    <cellStyle name="Heading 3" xfId="3" builtinId="18"/>
    <cellStyle name="Normal" xfId="0" builtinId="0" customBuiltin="1"/>
    <cellStyle name="Warning Text" xfId="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Vdrop@1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8460-C63A-9942-B8D8-F92B208762A2}">
  <dimension ref="A1:E23"/>
  <sheetViews>
    <sheetView view="pageBreakPreview" zoomScaleNormal="100" zoomScaleSheetLayoutView="100" workbookViewId="0">
      <selection activeCell="C11" sqref="C11"/>
    </sheetView>
  </sheetViews>
  <sheetFormatPr baseColWidth="10" defaultRowHeight="11" x14ac:dyDescent="0.15"/>
  <cols>
    <col min="2" max="2" width="26" customWidth="1"/>
    <col min="4" max="4" width="8" customWidth="1"/>
    <col min="5" max="5" width="51.59765625" customWidth="1"/>
  </cols>
  <sheetData>
    <row r="1" spans="1:5" ht="21" thickBot="1" x14ac:dyDescent="0.3">
      <c r="A1" s="1" t="s">
        <v>19</v>
      </c>
      <c r="B1" s="1"/>
      <c r="C1" s="1"/>
      <c r="D1" s="1"/>
      <c r="E1" s="1"/>
    </row>
    <row r="2" spans="1:5" ht="12" thickTop="1" x14ac:dyDescent="0.15"/>
    <row r="3" spans="1:5" ht="18" thickBot="1" x14ac:dyDescent="0.25">
      <c r="A3" s="2" t="s">
        <v>8</v>
      </c>
      <c r="B3" s="2"/>
      <c r="C3" s="2"/>
      <c r="D3" s="2"/>
      <c r="E3" s="2"/>
    </row>
    <row r="4" spans="1:5" ht="24" customHeight="1" thickTop="1" x14ac:dyDescent="0.15">
      <c r="A4" s="24" t="s">
        <v>367</v>
      </c>
      <c r="B4" s="24"/>
      <c r="C4" s="24"/>
      <c r="D4" s="24"/>
      <c r="E4" s="24"/>
    </row>
    <row r="6" spans="1:5" ht="18" thickBot="1" x14ac:dyDescent="0.25">
      <c r="A6" s="2" t="s">
        <v>0</v>
      </c>
      <c r="B6" s="2"/>
      <c r="C6" s="2"/>
      <c r="D6" s="2"/>
      <c r="E6" s="2"/>
    </row>
    <row r="7" spans="1:5" ht="17" thickTop="1" thickBot="1" x14ac:dyDescent="0.25">
      <c r="A7" s="4" t="s">
        <v>161</v>
      </c>
      <c r="B7" s="4" t="s">
        <v>9</v>
      </c>
      <c r="C7" s="4" t="s">
        <v>10</v>
      </c>
      <c r="D7" s="4" t="s">
        <v>11</v>
      </c>
      <c r="E7" s="4" t="s">
        <v>14</v>
      </c>
    </row>
    <row r="8" spans="1:5" ht="24" x14ac:dyDescent="0.15">
      <c r="B8" t="s">
        <v>20</v>
      </c>
      <c r="C8">
        <v>30</v>
      </c>
      <c r="D8" t="s">
        <v>5</v>
      </c>
      <c r="E8" t="s">
        <v>184</v>
      </c>
    </row>
    <row r="9" spans="1:5" ht="24" x14ac:dyDescent="0.15">
      <c r="B9" t="s">
        <v>21</v>
      </c>
      <c r="C9">
        <v>6</v>
      </c>
      <c r="D9" t="s">
        <v>5</v>
      </c>
      <c r="E9" t="s">
        <v>185</v>
      </c>
    </row>
    <row r="10" spans="1:5" ht="24" x14ac:dyDescent="0.15">
      <c r="B10" t="s">
        <v>183</v>
      </c>
      <c r="C10">
        <v>4.0000000000000003E-5</v>
      </c>
      <c r="D10" t="s">
        <v>160</v>
      </c>
      <c r="E10" t="s">
        <v>186</v>
      </c>
    </row>
    <row r="11" spans="1:5" ht="12" x14ac:dyDescent="0.15">
      <c r="B11" t="s">
        <v>22</v>
      </c>
      <c r="C11">
        <v>3.3</v>
      </c>
      <c r="D11" t="s">
        <v>5</v>
      </c>
      <c r="E11" t="s">
        <v>24</v>
      </c>
    </row>
    <row r="12" spans="1:5" ht="12" x14ac:dyDescent="0.15">
      <c r="B12" t="s">
        <v>28</v>
      </c>
      <c r="C12">
        <v>0.1</v>
      </c>
      <c r="D12" t="s">
        <v>7</v>
      </c>
      <c r="E12" t="s">
        <v>23</v>
      </c>
    </row>
    <row r="13" spans="1:5" ht="12" x14ac:dyDescent="0.15">
      <c r="B13" t="s">
        <v>70</v>
      </c>
      <c r="C13">
        <v>1</v>
      </c>
      <c r="D13" t="s">
        <v>7</v>
      </c>
      <c r="E13" t="s">
        <v>79</v>
      </c>
    </row>
    <row r="14" spans="1:5" ht="12" x14ac:dyDescent="0.15">
      <c r="B14" t="s">
        <v>126</v>
      </c>
      <c r="C14">
        <v>0.06</v>
      </c>
      <c r="D14" t="s">
        <v>7</v>
      </c>
      <c r="E14" t="s">
        <v>127</v>
      </c>
    </row>
    <row r="15" spans="1:5" ht="16" x14ac:dyDescent="0.15">
      <c r="C15" s="6"/>
      <c r="D15" s="3"/>
    </row>
    <row r="17" spans="2:2" x14ac:dyDescent="0.15">
      <c r="B17" s="8"/>
    </row>
    <row r="18" spans="2:2" x14ac:dyDescent="0.15">
      <c r="B18" s="8"/>
    </row>
    <row r="19" spans="2:2" x14ac:dyDescent="0.15">
      <c r="B19" s="8"/>
    </row>
    <row r="20" spans="2:2" x14ac:dyDescent="0.15">
      <c r="B20" s="8"/>
    </row>
    <row r="21" spans="2:2" x14ac:dyDescent="0.15">
      <c r="B21" s="8"/>
    </row>
    <row r="22" spans="2:2" x14ac:dyDescent="0.15">
      <c r="B22" s="8"/>
    </row>
    <row r="23" spans="2:2" x14ac:dyDescent="0.15">
      <c r="B23" s="8"/>
    </row>
  </sheetData>
  <mergeCells count="1">
    <mergeCell ref="A4:E4"/>
  </mergeCells>
  <pageMargins left="0.45" right="0.45" top="0.25" bottom="0.25" header="0" footer="0"/>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0958-3135-F544-8B71-492A9B7EAB74}">
  <dimension ref="A1:E36"/>
  <sheetViews>
    <sheetView view="pageBreakPreview" zoomScaleNormal="100" zoomScaleSheetLayoutView="100" workbookViewId="0">
      <selection activeCell="A8" sqref="A8"/>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101</v>
      </c>
      <c r="B1" s="1"/>
      <c r="C1" s="1"/>
      <c r="D1" s="1"/>
      <c r="E1" s="1"/>
    </row>
    <row r="2" spans="1:5" ht="12" thickTop="1" x14ac:dyDescent="0.15"/>
    <row r="3" spans="1:5" ht="18" thickBot="1" x14ac:dyDescent="0.25">
      <c r="A3" s="2" t="s">
        <v>8</v>
      </c>
      <c r="B3" s="2"/>
      <c r="C3" s="2"/>
      <c r="D3" s="2"/>
      <c r="E3" s="2"/>
    </row>
    <row r="4" spans="1:5" ht="24" customHeight="1" thickTop="1" x14ac:dyDescent="0.15">
      <c r="A4" s="26" t="s">
        <v>124</v>
      </c>
      <c r="B4" s="26"/>
      <c r="C4" s="26"/>
      <c r="D4" s="26"/>
      <c r="E4" s="26"/>
    </row>
    <row r="6" spans="1:5" ht="18" thickBot="1" x14ac:dyDescent="0.25">
      <c r="A6" s="2" t="s">
        <v>36</v>
      </c>
      <c r="B6" s="2"/>
      <c r="C6" s="2"/>
      <c r="D6" s="2"/>
      <c r="E6" s="2"/>
    </row>
    <row r="7" spans="1:5" ht="49" customHeight="1" thickTop="1" x14ac:dyDescent="0.15">
      <c r="A7" s="26" t="s">
        <v>366</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19" t="s">
        <v>161</v>
      </c>
      <c r="B10" s="4" t="s">
        <v>9</v>
      </c>
      <c r="C10" s="4" t="s">
        <v>10</v>
      </c>
      <c r="D10" s="4" t="s">
        <v>11</v>
      </c>
      <c r="E10" s="4" t="s">
        <v>14</v>
      </c>
    </row>
    <row r="11" spans="1:5" ht="12" x14ac:dyDescent="0.15">
      <c r="A11" t="s">
        <v>253</v>
      </c>
      <c r="B11" t="s">
        <v>134</v>
      </c>
      <c r="C11">
        <v>2</v>
      </c>
      <c r="D11" t="s">
        <v>7</v>
      </c>
      <c r="E11" t="s">
        <v>138</v>
      </c>
    </row>
    <row r="12" spans="1:5" ht="12" x14ac:dyDescent="0.15">
      <c r="A12" t="s">
        <v>253</v>
      </c>
      <c r="B12" t="s">
        <v>135</v>
      </c>
      <c r="C12">
        <v>10</v>
      </c>
      <c r="D12" t="s">
        <v>7</v>
      </c>
      <c r="E12" t="s">
        <v>139</v>
      </c>
    </row>
    <row r="13" spans="1:5" ht="12" x14ac:dyDescent="0.15">
      <c r="A13" t="s">
        <v>253</v>
      </c>
      <c r="B13" t="s">
        <v>137</v>
      </c>
      <c r="C13">
        <v>2</v>
      </c>
      <c r="D13" t="s">
        <v>62</v>
      </c>
      <c r="E13" t="s">
        <v>140</v>
      </c>
    </row>
    <row r="14" spans="1:5" ht="12" x14ac:dyDescent="0.15">
      <c r="A14" t="s">
        <v>253</v>
      </c>
      <c r="B14" t="s">
        <v>254</v>
      </c>
      <c r="C14">
        <v>100</v>
      </c>
      <c r="D14" t="s">
        <v>6</v>
      </c>
    </row>
    <row r="16" spans="1:5" ht="18" thickBot="1" x14ac:dyDescent="0.25">
      <c r="A16" s="2" t="s">
        <v>18</v>
      </c>
      <c r="B16" s="2"/>
      <c r="C16" s="2"/>
      <c r="D16" s="2"/>
      <c r="E16" s="2"/>
    </row>
    <row r="17" spans="1:5" ht="17" thickTop="1" thickBot="1" x14ac:dyDescent="0.25">
      <c r="A17" s="19" t="s">
        <v>200</v>
      </c>
      <c r="B17" s="4" t="s">
        <v>31</v>
      </c>
      <c r="C17" s="4" t="s">
        <v>32</v>
      </c>
      <c r="D17" s="4"/>
      <c r="E17" s="4" t="s">
        <v>8</v>
      </c>
    </row>
    <row r="18" spans="1:5" ht="12" x14ac:dyDescent="0.15">
      <c r="A18">
        <v>1</v>
      </c>
      <c r="B18" t="s">
        <v>131</v>
      </c>
      <c r="C18" t="b">
        <f>Project!C14&gt;=C25</f>
        <v>1</v>
      </c>
      <c r="E18" t="s">
        <v>130</v>
      </c>
    </row>
    <row r="19" spans="1:5" ht="12" x14ac:dyDescent="0.15">
      <c r="A19">
        <f>A18+1</f>
        <v>2</v>
      </c>
      <c r="B19" t="s">
        <v>136</v>
      </c>
      <c r="C19" t="b">
        <f>C24&lt;C11</f>
        <v>1</v>
      </c>
      <c r="E19" t="s">
        <v>86</v>
      </c>
    </row>
    <row r="20" spans="1:5" ht="24" x14ac:dyDescent="0.15">
      <c r="A20">
        <f>A19+1</f>
        <v>3</v>
      </c>
      <c r="B20" t="s">
        <v>141</v>
      </c>
      <c r="C20" s="10" t="b">
        <f>C26&lt;C13</f>
        <v>0</v>
      </c>
      <c r="D20" s="10"/>
      <c r="E20" s="10" t="s">
        <v>142</v>
      </c>
    </row>
    <row r="22" spans="1:5" ht="18" thickBot="1" x14ac:dyDescent="0.25">
      <c r="A22" s="2" t="s">
        <v>13</v>
      </c>
      <c r="B22" s="2"/>
      <c r="C22" s="2"/>
      <c r="D22" s="2"/>
      <c r="E22" s="2"/>
    </row>
    <row r="23" spans="1:5" ht="17" thickTop="1" thickBot="1" x14ac:dyDescent="0.25">
      <c r="A23" s="19" t="s">
        <v>200</v>
      </c>
      <c r="B23" s="4" t="s">
        <v>41</v>
      </c>
      <c r="C23" s="4" t="s">
        <v>37</v>
      </c>
      <c r="D23" s="4" t="s">
        <v>11</v>
      </c>
      <c r="E23" s="4" t="s">
        <v>8</v>
      </c>
    </row>
    <row r="24" spans="1:5" ht="12" x14ac:dyDescent="0.15">
      <c r="A24">
        <v>1</v>
      </c>
      <c r="B24" t="s">
        <v>70</v>
      </c>
      <c r="C24" s="16">
        <f>Project!C8/C14</f>
        <v>0.3</v>
      </c>
      <c r="D24" t="s">
        <v>7</v>
      </c>
      <c r="E24" t="s">
        <v>129</v>
      </c>
    </row>
    <row r="25" spans="1:5" ht="12" x14ac:dyDescent="0.15">
      <c r="A25">
        <f>A24+1</f>
        <v>2</v>
      </c>
      <c r="B25" t="s">
        <v>125</v>
      </c>
      <c r="C25" s="16">
        <f>Project!C9/C14</f>
        <v>0.06</v>
      </c>
      <c r="D25" t="s">
        <v>7</v>
      </c>
      <c r="E25" t="s">
        <v>128</v>
      </c>
    </row>
    <row r="26" spans="1:5" ht="12" x14ac:dyDescent="0.15">
      <c r="A26">
        <f>A25+1</f>
        <v>3</v>
      </c>
      <c r="B26" t="s">
        <v>132</v>
      </c>
      <c r="C26" s="18">
        <f>Project!C8*C24</f>
        <v>9</v>
      </c>
      <c r="D26" t="s">
        <v>62</v>
      </c>
      <c r="E26" t="s">
        <v>255</v>
      </c>
    </row>
    <row r="27" spans="1:5" ht="12" x14ac:dyDescent="0.15">
      <c r="A27">
        <f>A26+1</f>
        <v>4</v>
      </c>
      <c r="B27" t="s">
        <v>133</v>
      </c>
      <c r="C27">
        <f>Project!C9*C25</f>
        <v>0.36</v>
      </c>
      <c r="D27" t="s">
        <v>62</v>
      </c>
      <c r="E27" t="s">
        <v>256</v>
      </c>
    </row>
    <row r="28" spans="1:5" ht="24" x14ac:dyDescent="0.15">
      <c r="A28">
        <f>A27+1</f>
        <v>5</v>
      </c>
      <c r="B28" t="s">
        <v>260</v>
      </c>
      <c r="C28" s="16">
        <f>SQRT(C13*C14)</f>
        <v>14.142135623730951</v>
      </c>
      <c r="D28" t="s">
        <v>5</v>
      </c>
      <c r="E28" t="s">
        <v>259</v>
      </c>
    </row>
    <row r="30" spans="1:5" ht="18" thickBot="1" x14ac:dyDescent="0.25">
      <c r="A30" s="2" t="s">
        <v>40</v>
      </c>
      <c r="B30" s="2"/>
      <c r="C30" s="2"/>
      <c r="D30" s="2"/>
      <c r="E30" s="2"/>
    </row>
    <row r="31" spans="1:5" ht="17" thickTop="1" thickBot="1" x14ac:dyDescent="0.25">
      <c r="A31" s="4" t="s">
        <v>161</v>
      </c>
      <c r="B31" s="4" t="s">
        <v>54</v>
      </c>
      <c r="C31" s="4" t="s">
        <v>188</v>
      </c>
      <c r="D31" s="4" t="s">
        <v>189</v>
      </c>
      <c r="E31" s="4" t="s">
        <v>211</v>
      </c>
    </row>
    <row r="32" spans="1:5" ht="12" x14ac:dyDescent="0.15">
      <c r="A32" t="s">
        <v>253</v>
      </c>
      <c r="B32" t="s">
        <v>258</v>
      </c>
      <c r="C32">
        <v>2512</v>
      </c>
      <c r="D32" t="s">
        <v>215</v>
      </c>
      <c r="E32" t="s">
        <v>257</v>
      </c>
    </row>
    <row r="34" spans="1:5" ht="18" thickBot="1" x14ac:dyDescent="0.25">
      <c r="A34" s="2" t="s">
        <v>44</v>
      </c>
      <c r="B34" s="2"/>
      <c r="C34" s="2"/>
      <c r="D34" s="2"/>
      <c r="E34" s="2"/>
    </row>
    <row r="35" spans="1:5" ht="17" thickTop="1" thickBot="1" x14ac:dyDescent="0.25">
      <c r="A35" s="4" t="s">
        <v>200</v>
      </c>
      <c r="B35" s="17"/>
      <c r="C35" s="17"/>
      <c r="D35" s="17"/>
      <c r="E35" s="17"/>
    </row>
    <row r="36" spans="1:5" ht="62" customHeight="1" x14ac:dyDescent="0.15">
      <c r="A36">
        <v>1</v>
      </c>
      <c r="B36" s="29" t="s">
        <v>261</v>
      </c>
      <c r="C36" s="29"/>
      <c r="D36" s="29"/>
      <c r="E36" s="29"/>
    </row>
  </sheetData>
  <mergeCells count="3">
    <mergeCell ref="B36:E36"/>
    <mergeCell ref="A4:E4"/>
    <mergeCell ref="A7:E7"/>
  </mergeCells>
  <pageMargins left="0.45" right="0.45" top="0.25" bottom="0.25" header="0" footer="0"/>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3171-C76C-5D49-8E93-767FBBFA7ED3}">
  <dimension ref="A1:E58"/>
  <sheetViews>
    <sheetView view="pageBreakPreview" topLeftCell="A5" zoomScaleNormal="100" zoomScaleSheetLayoutView="100" workbookViewId="0">
      <selection activeCell="A17" sqref="A17:XFD17"/>
    </sheetView>
  </sheetViews>
  <sheetFormatPr baseColWidth="10" defaultRowHeight="11" x14ac:dyDescent="0.15"/>
  <cols>
    <col min="1" max="1" width="11" customWidth="1"/>
    <col min="2" max="2" width="26" customWidth="1"/>
    <col min="3" max="3" width="13" customWidth="1"/>
    <col min="4" max="4" width="8" customWidth="1"/>
    <col min="5" max="5" width="51.19921875" customWidth="1"/>
  </cols>
  <sheetData>
    <row r="1" spans="1:5" ht="21" thickBot="1" x14ac:dyDescent="0.3">
      <c r="A1" s="1" t="s">
        <v>202</v>
      </c>
      <c r="B1" s="1"/>
      <c r="C1" s="1"/>
      <c r="D1" s="1"/>
      <c r="E1" s="1"/>
    </row>
    <row r="2" spans="1:5" ht="12" thickTop="1" x14ac:dyDescent="0.15"/>
    <row r="3" spans="1:5" ht="18" thickBot="1" x14ac:dyDescent="0.25">
      <c r="A3" s="2" t="s">
        <v>8</v>
      </c>
      <c r="B3" s="2"/>
      <c r="C3" s="2"/>
      <c r="D3" s="2"/>
      <c r="E3" s="2"/>
    </row>
    <row r="4" spans="1:5" ht="24" customHeight="1" thickTop="1" x14ac:dyDescent="0.15">
      <c r="A4" s="25" t="s">
        <v>370</v>
      </c>
      <c r="B4" s="25"/>
      <c r="C4" s="25"/>
      <c r="D4" s="25"/>
      <c r="E4" s="25"/>
    </row>
    <row r="5" spans="1:5" ht="12" customHeight="1" x14ac:dyDescent="0.15">
      <c r="A5" s="7"/>
      <c r="B5" s="7"/>
      <c r="C5" s="7"/>
      <c r="D5" s="7"/>
      <c r="E5" s="7"/>
    </row>
    <row r="6" spans="1:5" ht="18" thickBot="1" x14ac:dyDescent="0.25">
      <c r="A6" s="2" t="s">
        <v>36</v>
      </c>
      <c r="B6" s="9"/>
      <c r="C6" s="2"/>
      <c r="D6" s="2"/>
      <c r="E6" s="2"/>
    </row>
    <row r="7" spans="1:5" ht="58" customHeight="1" thickTop="1" x14ac:dyDescent="0.15">
      <c r="A7" s="25" t="s">
        <v>388</v>
      </c>
      <c r="B7" s="25"/>
      <c r="C7" s="25"/>
      <c r="D7" s="25"/>
      <c r="E7" s="25"/>
    </row>
    <row r="8" spans="1:5" ht="24" customHeight="1" x14ac:dyDescent="0.15">
      <c r="A8" s="7"/>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350</v>
      </c>
      <c r="B11" s="8" t="s">
        <v>172</v>
      </c>
      <c r="C11" s="11">
        <v>40</v>
      </c>
      <c r="D11" s="8" t="s">
        <v>5</v>
      </c>
      <c r="E11" s="5" t="s">
        <v>171</v>
      </c>
    </row>
    <row r="12" spans="1:5" ht="12" x14ac:dyDescent="0.15">
      <c r="A12" t="s">
        <v>350</v>
      </c>
      <c r="B12" s="8" t="s">
        <v>377</v>
      </c>
      <c r="C12" s="11">
        <v>1</v>
      </c>
      <c r="D12" s="8" t="s">
        <v>378</v>
      </c>
      <c r="E12" s="5" t="s">
        <v>380</v>
      </c>
    </row>
    <row r="13" spans="1:5" ht="12" x14ac:dyDescent="0.15">
      <c r="A13" t="s">
        <v>350</v>
      </c>
      <c r="B13" s="8" t="s">
        <v>379</v>
      </c>
      <c r="C13" s="11">
        <v>25</v>
      </c>
      <c r="D13" s="8" t="s">
        <v>7</v>
      </c>
      <c r="E13" s="5" t="s">
        <v>381</v>
      </c>
    </row>
    <row r="14" spans="1:5" ht="12" x14ac:dyDescent="0.15">
      <c r="A14" t="s">
        <v>350</v>
      </c>
      <c r="B14" t="s">
        <v>352</v>
      </c>
      <c r="C14" s="11">
        <v>0.6</v>
      </c>
      <c r="D14" s="8" t="s">
        <v>5</v>
      </c>
      <c r="E14" t="s">
        <v>147</v>
      </c>
    </row>
    <row r="15" spans="1:5" ht="12" x14ac:dyDescent="0.15">
      <c r="A15" t="s">
        <v>350</v>
      </c>
      <c r="B15" t="s">
        <v>351</v>
      </c>
      <c r="C15" s="11">
        <v>0.2</v>
      </c>
      <c r="D15" s="8" t="s">
        <v>5</v>
      </c>
      <c r="E15" t="s">
        <v>353</v>
      </c>
    </row>
    <row r="16" spans="1:5" ht="12" x14ac:dyDescent="0.15">
      <c r="A16" t="s">
        <v>123</v>
      </c>
      <c r="B16" t="s">
        <v>194</v>
      </c>
      <c r="C16" s="11">
        <v>1</v>
      </c>
      <c r="D16" s="8" t="s">
        <v>206</v>
      </c>
      <c r="E16" t="s">
        <v>389</v>
      </c>
    </row>
    <row r="17" spans="1:5" ht="12" x14ac:dyDescent="0.15">
      <c r="A17" t="s">
        <v>193</v>
      </c>
      <c r="B17" t="s">
        <v>195</v>
      </c>
      <c r="C17" s="11">
        <v>50</v>
      </c>
      <c r="D17" s="8"/>
      <c r="E17" t="s">
        <v>177</v>
      </c>
    </row>
    <row r="18" spans="1:5" ht="12" x14ac:dyDescent="0.15">
      <c r="A18" t="s">
        <v>193</v>
      </c>
      <c r="B18" s="8" t="s">
        <v>196</v>
      </c>
      <c r="C18" s="14">
        <v>1.0000000000000001E-5</v>
      </c>
      <c r="D18" s="8" t="s">
        <v>95</v>
      </c>
      <c r="E18" s="5" t="s">
        <v>178</v>
      </c>
    </row>
    <row r="19" spans="1:5" ht="12" x14ac:dyDescent="0.15">
      <c r="A19" t="s">
        <v>371</v>
      </c>
      <c r="B19" t="s">
        <v>372</v>
      </c>
      <c r="C19" s="11">
        <v>50</v>
      </c>
      <c r="D19" s="8" t="s">
        <v>5</v>
      </c>
      <c r="E19" t="s">
        <v>177</v>
      </c>
    </row>
    <row r="20" spans="1:5" ht="12" x14ac:dyDescent="0.15">
      <c r="A20" t="s">
        <v>371</v>
      </c>
      <c r="B20" s="8" t="s">
        <v>373</v>
      </c>
      <c r="C20" s="14">
        <v>1.0000000000000001E-5</v>
      </c>
      <c r="D20" s="8" t="s">
        <v>95</v>
      </c>
      <c r="E20" s="5" t="s">
        <v>178</v>
      </c>
    </row>
    <row r="21" spans="1:5" ht="12" x14ac:dyDescent="0.15">
      <c r="A21" t="s">
        <v>383</v>
      </c>
      <c r="B21" s="8" t="s">
        <v>384</v>
      </c>
      <c r="C21" s="23">
        <v>4.7</v>
      </c>
      <c r="D21" t="s">
        <v>6</v>
      </c>
      <c r="E21" s="5" t="s">
        <v>385</v>
      </c>
    </row>
    <row r="22" spans="1:5" ht="12" x14ac:dyDescent="0.15">
      <c r="A22" t="s">
        <v>162</v>
      </c>
      <c r="B22" s="8" t="s">
        <v>164</v>
      </c>
      <c r="C22" s="11">
        <v>60</v>
      </c>
      <c r="D22" s="8" t="s">
        <v>5</v>
      </c>
      <c r="E22" s="5" t="s">
        <v>149</v>
      </c>
    </row>
    <row r="23" spans="1:5" ht="12" x14ac:dyDescent="0.15">
      <c r="A23" t="s">
        <v>162</v>
      </c>
      <c r="B23" s="8" t="s">
        <v>166</v>
      </c>
      <c r="C23" s="11">
        <v>2.8</v>
      </c>
      <c r="D23" s="8" t="s">
        <v>5</v>
      </c>
      <c r="E23" s="5" t="s">
        <v>150</v>
      </c>
    </row>
    <row r="24" spans="1:5" ht="12" x14ac:dyDescent="0.15">
      <c r="A24" t="s">
        <v>162</v>
      </c>
      <c r="B24" s="8" t="s">
        <v>50</v>
      </c>
      <c r="C24" s="11">
        <v>3.3</v>
      </c>
      <c r="D24" s="8" t="s">
        <v>5</v>
      </c>
      <c r="E24" s="5" t="s">
        <v>151</v>
      </c>
    </row>
    <row r="25" spans="1:5" ht="12" x14ac:dyDescent="0.15">
      <c r="A25" t="s">
        <v>162</v>
      </c>
      <c r="B25" s="8" t="s">
        <v>159</v>
      </c>
      <c r="C25" s="11">
        <v>0.2</v>
      </c>
      <c r="D25" s="8" t="s">
        <v>7</v>
      </c>
      <c r="E25" s="5" t="s">
        <v>152</v>
      </c>
    </row>
    <row r="26" spans="1:5" ht="12" x14ac:dyDescent="0.15">
      <c r="A26" t="s">
        <v>162</v>
      </c>
      <c r="B26" s="8" t="s">
        <v>146</v>
      </c>
      <c r="C26" s="11">
        <v>0.7</v>
      </c>
      <c r="D26" s="8" t="s">
        <v>5</v>
      </c>
      <c r="E26" s="5" t="s">
        <v>148</v>
      </c>
    </row>
    <row r="27" spans="1:5" x14ac:dyDescent="0.15">
      <c r="B27" s="8"/>
      <c r="C27" s="11"/>
      <c r="D27" s="8"/>
      <c r="E27" s="5"/>
    </row>
    <row r="28" spans="1:5" ht="18" thickBot="1" x14ac:dyDescent="0.25">
      <c r="A28" s="2" t="s">
        <v>18</v>
      </c>
      <c r="B28" s="2"/>
      <c r="C28" s="2"/>
      <c r="D28" s="2"/>
      <c r="E28" s="2"/>
    </row>
    <row r="29" spans="1:5" ht="17" thickTop="1" thickBot="1" x14ac:dyDescent="0.25">
      <c r="A29" s="4" t="s">
        <v>200</v>
      </c>
      <c r="B29" s="4" t="s">
        <v>31</v>
      </c>
      <c r="C29" s="4" t="s">
        <v>32</v>
      </c>
      <c r="D29" s="4"/>
      <c r="E29" s="4" t="s">
        <v>8</v>
      </c>
    </row>
    <row r="30" spans="1:5" ht="24" x14ac:dyDescent="0.15">
      <c r="A30">
        <v>1</v>
      </c>
      <c r="B30" t="s">
        <v>355</v>
      </c>
      <c r="C30" t="b">
        <f>C11&gt;Project!C8</f>
        <v>1</v>
      </c>
      <c r="E30" t="s">
        <v>173</v>
      </c>
    </row>
    <row r="31" spans="1:5" ht="24" x14ac:dyDescent="0.15">
      <c r="A31">
        <f t="shared" ref="A31:A37" si="0">A30+1</f>
        <v>2</v>
      </c>
      <c r="B31" t="s">
        <v>356</v>
      </c>
      <c r="C31" t="b">
        <f>C22&gt;C42</f>
        <v>1</v>
      </c>
      <c r="E31" t="s">
        <v>175</v>
      </c>
    </row>
    <row r="32" spans="1:5" ht="24" x14ac:dyDescent="0.15">
      <c r="A32">
        <f t="shared" si="0"/>
        <v>3</v>
      </c>
      <c r="B32" t="s">
        <v>357</v>
      </c>
      <c r="C32" t="b">
        <f>C23&lt;C44</f>
        <v>1</v>
      </c>
      <c r="E32" t="s">
        <v>174</v>
      </c>
    </row>
    <row r="33" spans="1:5" ht="12" customHeight="1" x14ac:dyDescent="0.15">
      <c r="A33">
        <f t="shared" si="0"/>
        <v>4</v>
      </c>
      <c r="B33" t="s">
        <v>165</v>
      </c>
      <c r="C33" t="b">
        <f>C25&gt;Processor!C18</f>
        <v>1</v>
      </c>
      <c r="E33" t="s">
        <v>368</v>
      </c>
    </row>
    <row r="34" spans="1:5" ht="24" x14ac:dyDescent="0.15">
      <c r="A34">
        <f t="shared" si="0"/>
        <v>5</v>
      </c>
      <c r="B34" t="s">
        <v>358</v>
      </c>
      <c r="C34" t="b">
        <f>C44-C26&gt;=Project!C11</f>
        <v>1</v>
      </c>
      <c r="E34" t="s">
        <v>176</v>
      </c>
    </row>
    <row r="35" spans="1:5" ht="12" x14ac:dyDescent="0.15">
      <c r="A35">
        <f t="shared" si="0"/>
        <v>6</v>
      </c>
      <c r="B35" t="s">
        <v>374</v>
      </c>
      <c r="C35" t="b">
        <f>C17&gt;C42</f>
        <v>1</v>
      </c>
      <c r="E35" t="s">
        <v>53</v>
      </c>
    </row>
    <row r="36" spans="1:5" ht="12" x14ac:dyDescent="0.15">
      <c r="A36">
        <f t="shared" si="0"/>
        <v>7</v>
      </c>
      <c r="B36" t="s">
        <v>375</v>
      </c>
      <c r="C36" t="b">
        <f>C19&gt;C24</f>
        <v>1</v>
      </c>
      <c r="E36" t="s">
        <v>179</v>
      </c>
    </row>
    <row r="37" spans="1:5" ht="24" customHeight="1" x14ac:dyDescent="0.15">
      <c r="A37">
        <f t="shared" si="0"/>
        <v>8</v>
      </c>
      <c r="B37" t="s">
        <v>187</v>
      </c>
      <c r="C37" t="b">
        <f>C46&gt;Project!C10</f>
        <v>1</v>
      </c>
      <c r="E37" t="s">
        <v>182</v>
      </c>
    </row>
    <row r="38" spans="1:5" ht="24" customHeight="1" x14ac:dyDescent="0.15"/>
    <row r="39" spans="1:5" ht="18" thickBot="1" x14ac:dyDescent="0.25">
      <c r="A39" s="2" t="s">
        <v>13</v>
      </c>
      <c r="B39" s="2"/>
      <c r="C39" s="2"/>
      <c r="D39" s="2"/>
      <c r="E39" s="2"/>
    </row>
    <row r="40" spans="1:5" ht="17" thickTop="1" thickBot="1" x14ac:dyDescent="0.25">
      <c r="A40" s="4" t="s">
        <v>200</v>
      </c>
      <c r="B40" s="4" t="s">
        <v>41</v>
      </c>
      <c r="C40" s="4" t="s">
        <v>37</v>
      </c>
      <c r="D40" s="4" t="s">
        <v>11</v>
      </c>
      <c r="E40" s="4" t="s">
        <v>8</v>
      </c>
    </row>
    <row r="41" spans="1:5" ht="12" x14ac:dyDescent="0.15">
      <c r="A41">
        <v>1</v>
      </c>
      <c r="B41" t="s">
        <v>153</v>
      </c>
      <c r="C41">
        <f>2*C14</f>
        <v>1.2</v>
      </c>
      <c r="D41" t="s">
        <v>5</v>
      </c>
      <c r="E41" t="s">
        <v>154</v>
      </c>
    </row>
    <row r="42" spans="1:5" ht="12" x14ac:dyDescent="0.15">
      <c r="A42">
        <f>A41+1</f>
        <v>2</v>
      </c>
      <c r="B42" t="s">
        <v>167</v>
      </c>
      <c r="C42">
        <f>Project!C8-C41</f>
        <v>28.8</v>
      </c>
      <c r="D42" t="s">
        <v>5</v>
      </c>
      <c r="E42" t="s">
        <v>169</v>
      </c>
    </row>
    <row r="43" spans="1:5" ht="12" x14ac:dyDescent="0.15">
      <c r="A43">
        <f>A42+1</f>
        <v>3</v>
      </c>
      <c r="B43" t="s">
        <v>168</v>
      </c>
      <c r="C43">
        <f>Project!C9-C41</f>
        <v>4.8</v>
      </c>
      <c r="D43" t="s">
        <v>5</v>
      </c>
      <c r="E43" t="s">
        <v>170</v>
      </c>
    </row>
    <row r="44" spans="1:5" ht="12" x14ac:dyDescent="0.15">
      <c r="A44">
        <f>A43+1</f>
        <v>4</v>
      </c>
      <c r="B44" t="s">
        <v>354</v>
      </c>
      <c r="C44">
        <f>C43-C15</f>
        <v>4.5999999999999996</v>
      </c>
      <c r="D44" t="s">
        <v>5</v>
      </c>
      <c r="E44" t="s">
        <v>369</v>
      </c>
    </row>
    <row r="45" spans="1:5" ht="12" customHeight="1" x14ac:dyDescent="0.15">
      <c r="A45">
        <f>A43+1</f>
        <v>4</v>
      </c>
      <c r="B45" t="s">
        <v>181</v>
      </c>
      <c r="C45" s="12">
        <f>C18*(C43/0.01)*LN(1.111)</f>
        <v>5.0525045115596616E-4</v>
      </c>
      <c r="D45" t="s">
        <v>160</v>
      </c>
      <c r="E45" t="s">
        <v>197</v>
      </c>
    </row>
    <row r="46" spans="1:5" ht="25" customHeight="1" x14ac:dyDescent="0.15">
      <c r="A46">
        <f>A45+1</f>
        <v>5</v>
      </c>
      <c r="B46" t="s">
        <v>180</v>
      </c>
      <c r="C46" s="12">
        <f>C18*(C43/Processor!C35)*LN(1.111)</f>
        <v>9.4739780414525391E-5</v>
      </c>
      <c r="D46" t="s">
        <v>160</v>
      </c>
      <c r="E46" t="s">
        <v>198</v>
      </c>
    </row>
    <row r="47" spans="1:5" ht="24" customHeight="1" x14ac:dyDescent="0.15">
      <c r="A47">
        <f>A46+1</f>
        <v>6</v>
      </c>
      <c r="B47" t="s">
        <v>382</v>
      </c>
      <c r="C47" s="12">
        <f>C42/C13</f>
        <v>1.1520000000000001</v>
      </c>
      <c r="D47" t="s">
        <v>6</v>
      </c>
      <c r="E47" t="s">
        <v>387</v>
      </c>
    </row>
    <row r="48" spans="1:5" ht="12" customHeight="1" x14ac:dyDescent="0.15">
      <c r="A48">
        <f>A47+1</f>
        <v>7</v>
      </c>
      <c r="B48" t="s">
        <v>386</v>
      </c>
      <c r="C48" s="12">
        <f>C42/C21</f>
        <v>6.1276595744680851</v>
      </c>
      <c r="D48" t="s">
        <v>7</v>
      </c>
      <c r="E48" t="s">
        <v>376</v>
      </c>
    </row>
    <row r="49" spans="1:5" ht="12" customHeight="1" x14ac:dyDescent="0.15"/>
    <row r="50" spans="1:5" ht="18" thickBot="1" x14ac:dyDescent="0.25">
      <c r="A50" s="2" t="s">
        <v>40</v>
      </c>
      <c r="B50" s="2"/>
      <c r="C50" s="2"/>
      <c r="D50" s="2"/>
      <c r="E50" s="2"/>
    </row>
    <row r="51" spans="1:5" ht="17" thickTop="1" thickBot="1" x14ac:dyDescent="0.25">
      <c r="A51" s="4" t="s">
        <v>161</v>
      </c>
      <c r="B51" s="4" t="s">
        <v>54</v>
      </c>
      <c r="C51" s="4" t="s">
        <v>188</v>
      </c>
      <c r="D51" s="4" t="s">
        <v>189</v>
      </c>
      <c r="E51" s="4" t="s">
        <v>211</v>
      </c>
    </row>
    <row r="52" spans="1:5" ht="12" x14ac:dyDescent="0.15">
      <c r="A52" t="s">
        <v>123</v>
      </c>
      <c r="B52" t="s">
        <v>343</v>
      </c>
      <c r="C52" s="13" t="s">
        <v>213</v>
      </c>
      <c r="D52" t="s">
        <v>190</v>
      </c>
      <c r="E52" t="s">
        <v>252</v>
      </c>
    </row>
    <row r="53" spans="1:5" ht="12" x14ac:dyDescent="0.15">
      <c r="A53" t="s">
        <v>193</v>
      </c>
      <c r="B53" t="s">
        <v>343</v>
      </c>
      <c r="C53" s="13" t="s">
        <v>213</v>
      </c>
      <c r="D53" t="s">
        <v>190</v>
      </c>
      <c r="E53" t="s">
        <v>252</v>
      </c>
    </row>
    <row r="54" spans="1:5" ht="24" x14ac:dyDescent="0.15">
      <c r="A54" t="s">
        <v>350</v>
      </c>
      <c r="B54" t="s">
        <v>192</v>
      </c>
      <c r="C54" t="s">
        <v>191</v>
      </c>
      <c r="D54" t="s">
        <v>190</v>
      </c>
      <c r="E54" t="s">
        <v>212</v>
      </c>
    </row>
    <row r="56" spans="1:5" ht="18" thickBot="1" x14ac:dyDescent="0.25">
      <c r="A56" s="2" t="s">
        <v>44</v>
      </c>
      <c r="B56" s="2"/>
      <c r="C56" s="2"/>
      <c r="D56" s="2"/>
      <c r="E56" s="2"/>
    </row>
    <row r="57" spans="1:5" ht="19" thickTop="1" thickBot="1" x14ac:dyDescent="0.25">
      <c r="A57" s="4" t="s">
        <v>200</v>
      </c>
      <c r="B57" s="2" t="s">
        <v>14</v>
      </c>
      <c r="C57" s="2"/>
      <c r="D57" s="2"/>
      <c r="E57" s="2"/>
    </row>
    <row r="58" spans="1:5" ht="24" customHeight="1" x14ac:dyDescent="0.15">
      <c r="A58">
        <v>1</v>
      </c>
      <c r="B58" s="26"/>
      <c r="C58" s="26"/>
      <c r="D58" s="26"/>
      <c r="E58" s="26"/>
    </row>
  </sheetData>
  <mergeCells count="3">
    <mergeCell ref="A4:E4"/>
    <mergeCell ref="A7:E7"/>
    <mergeCell ref="B58:E58"/>
  </mergeCells>
  <pageMargins left="0.45" right="0.45" top="0.25" bottom="0.25" header="0" footer="0"/>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3005-C33F-734C-A841-38A3BF6EBFF8}">
  <dimension ref="A1:E49"/>
  <sheetViews>
    <sheetView view="pageBreakPreview" zoomScaleNormal="100" zoomScaleSheetLayoutView="100" workbookViewId="0">
      <selection activeCell="A7" sqref="A7:E7"/>
    </sheetView>
  </sheetViews>
  <sheetFormatPr baseColWidth="10" defaultRowHeight="11" x14ac:dyDescent="0.15"/>
  <cols>
    <col min="1" max="1" width="10.59765625" customWidth="1"/>
    <col min="2" max="2" width="26" customWidth="1"/>
    <col min="3" max="3" width="13" customWidth="1"/>
    <col min="4" max="4" width="8" customWidth="1"/>
    <col min="5" max="5" width="51" customWidth="1"/>
  </cols>
  <sheetData>
    <row r="1" spans="1:5" ht="21" thickBot="1" x14ac:dyDescent="0.3">
      <c r="A1" s="1" t="s">
        <v>203</v>
      </c>
      <c r="B1" s="1"/>
      <c r="C1" s="1"/>
      <c r="D1" s="1"/>
      <c r="E1" s="1"/>
    </row>
    <row r="2" spans="1:5" ht="12" thickTop="1" x14ac:dyDescent="0.15"/>
    <row r="3" spans="1:5" ht="18" thickBot="1" x14ac:dyDescent="0.25">
      <c r="A3" s="2" t="s">
        <v>8</v>
      </c>
      <c r="B3" s="2"/>
      <c r="C3" s="2"/>
      <c r="D3" s="2"/>
      <c r="E3" s="2"/>
    </row>
    <row r="4" spans="1:5" ht="48" customHeight="1" thickTop="1" x14ac:dyDescent="0.15">
      <c r="A4" s="24" t="s">
        <v>199</v>
      </c>
      <c r="B4" s="24"/>
      <c r="C4" s="24"/>
      <c r="D4" s="24"/>
      <c r="E4" s="24"/>
    </row>
    <row r="6" spans="1:5" ht="18" thickBot="1" x14ac:dyDescent="0.25">
      <c r="A6" s="2" t="s">
        <v>36</v>
      </c>
      <c r="B6" s="2"/>
      <c r="C6" s="2"/>
      <c r="D6" s="2"/>
      <c r="E6" s="2"/>
    </row>
    <row r="7" spans="1:5" ht="36" customHeight="1" thickTop="1" x14ac:dyDescent="0.15">
      <c r="A7" s="24" t="s">
        <v>359</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96</v>
      </c>
      <c r="B11" t="s">
        <v>194</v>
      </c>
      <c r="C11" s="15">
        <v>9.9999999999999995E-8</v>
      </c>
      <c r="D11" t="s">
        <v>206</v>
      </c>
      <c r="E11" t="s">
        <v>205</v>
      </c>
    </row>
    <row r="12" spans="1:5" ht="12" x14ac:dyDescent="0.15">
      <c r="A12" t="s">
        <v>204</v>
      </c>
      <c r="B12" t="s">
        <v>209</v>
      </c>
      <c r="C12" s="15">
        <v>9.9999999999999995E-8</v>
      </c>
      <c r="D12" t="s">
        <v>206</v>
      </c>
      <c r="E12" t="s">
        <v>207</v>
      </c>
    </row>
    <row r="13" spans="1:5" ht="12" x14ac:dyDescent="0.15">
      <c r="A13" t="s">
        <v>347</v>
      </c>
      <c r="B13" t="s">
        <v>172</v>
      </c>
      <c r="C13">
        <v>40</v>
      </c>
      <c r="D13" s="8" t="s">
        <v>5</v>
      </c>
      <c r="E13" s="5" t="s">
        <v>171</v>
      </c>
    </row>
    <row r="14" spans="1:5" ht="12" x14ac:dyDescent="0.15">
      <c r="A14" t="s">
        <v>347</v>
      </c>
      <c r="B14" t="s">
        <v>349</v>
      </c>
      <c r="C14">
        <v>0.2</v>
      </c>
      <c r="D14" s="8" t="s">
        <v>5</v>
      </c>
      <c r="E14" t="s">
        <v>348</v>
      </c>
    </row>
    <row r="15" spans="1:5" ht="12" x14ac:dyDescent="0.15">
      <c r="A15" t="s">
        <v>93</v>
      </c>
      <c r="B15" t="s">
        <v>210</v>
      </c>
      <c r="C15">
        <v>10000</v>
      </c>
      <c r="D15" t="s">
        <v>6</v>
      </c>
      <c r="E15" t="s">
        <v>208</v>
      </c>
    </row>
    <row r="16" spans="1:5" ht="12" customHeight="1" x14ac:dyDescent="0.15">
      <c r="A16" t="s">
        <v>201</v>
      </c>
      <c r="B16" t="s">
        <v>65</v>
      </c>
      <c r="C16">
        <v>2.5000000000000001E-2</v>
      </c>
      <c r="D16" t="s">
        <v>7</v>
      </c>
      <c r="E16" t="s">
        <v>52</v>
      </c>
    </row>
    <row r="17" spans="1:5" ht="12" customHeight="1" x14ac:dyDescent="0.15">
      <c r="A17" t="s">
        <v>201</v>
      </c>
      <c r="B17" t="s">
        <v>66</v>
      </c>
      <c r="C17">
        <v>7.0000000000000007E-2</v>
      </c>
      <c r="D17" t="s">
        <v>7</v>
      </c>
      <c r="E17" t="s">
        <v>52</v>
      </c>
    </row>
    <row r="18" spans="1:5" ht="12" x14ac:dyDescent="0.15">
      <c r="A18" t="s">
        <v>201</v>
      </c>
      <c r="B18" t="s">
        <v>51</v>
      </c>
      <c r="C18">
        <v>0.19</v>
      </c>
      <c r="D18" t="s">
        <v>7</v>
      </c>
      <c r="E18" t="s">
        <v>52</v>
      </c>
    </row>
    <row r="19" spans="1:5" ht="12" x14ac:dyDescent="0.15">
      <c r="A19" t="s">
        <v>201</v>
      </c>
      <c r="B19" t="s">
        <v>67</v>
      </c>
      <c r="C19">
        <v>1.8</v>
      </c>
      <c r="D19" t="s">
        <v>5</v>
      </c>
      <c r="E19" t="s">
        <v>55</v>
      </c>
    </row>
    <row r="20" spans="1:5" ht="12" x14ac:dyDescent="0.15">
      <c r="A20" t="s">
        <v>201</v>
      </c>
      <c r="B20" t="s">
        <v>68</v>
      </c>
      <c r="C20">
        <v>5.5</v>
      </c>
      <c r="D20" t="s">
        <v>5</v>
      </c>
      <c r="E20" t="s">
        <v>55</v>
      </c>
    </row>
    <row r="21" spans="1:5" ht="12" customHeight="1" x14ac:dyDescent="0.15">
      <c r="A21" t="s">
        <v>201</v>
      </c>
      <c r="B21" t="s">
        <v>58</v>
      </c>
      <c r="C21">
        <f>0.15*Project!C14</f>
        <v>8.9999999999999993E-3</v>
      </c>
      <c r="D21" t="s">
        <v>5</v>
      </c>
      <c r="E21" t="s">
        <v>59</v>
      </c>
    </row>
    <row r="22" spans="1:5" ht="12" x14ac:dyDescent="0.15">
      <c r="A22" t="s">
        <v>201</v>
      </c>
      <c r="B22" t="s">
        <v>56</v>
      </c>
      <c r="C22">
        <f>0.25*Project!C14+0.8</f>
        <v>0.81500000000000006</v>
      </c>
      <c r="D22" t="s">
        <v>5</v>
      </c>
      <c r="E22" t="s">
        <v>57</v>
      </c>
    </row>
    <row r="23" spans="1:5" ht="12" customHeight="1" x14ac:dyDescent="0.15">
      <c r="A23" t="s">
        <v>201</v>
      </c>
      <c r="B23" t="s">
        <v>60</v>
      </c>
      <c r="C23">
        <v>0.3</v>
      </c>
      <c r="D23" t="s">
        <v>5</v>
      </c>
      <c r="E23" t="s">
        <v>52</v>
      </c>
    </row>
    <row r="24" spans="1:5" ht="12" customHeight="1" x14ac:dyDescent="0.15">
      <c r="A24" t="s">
        <v>201</v>
      </c>
      <c r="B24" t="s">
        <v>157</v>
      </c>
      <c r="C24">
        <v>1.38E-2</v>
      </c>
      <c r="D24" t="s">
        <v>7</v>
      </c>
      <c r="E24" t="s">
        <v>158</v>
      </c>
    </row>
    <row r="25" spans="1:5" x14ac:dyDescent="0.15">
      <c r="E25" s="5"/>
    </row>
    <row r="26" spans="1:5" ht="18" thickBot="1" x14ac:dyDescent="0.25">
      <c r="A26" s="2" t="s">
        <v>18</v>
      </c>
      <c r="B26" s="2"/>
      <c r="C26" s="2"/>
      <c r="D26" s="2"/>
      <c r="E26" s="2"/>
    </row>
    <row r="27" spans="1:5" ht="17" thickTop="1" thickBot="1" x14ac:dyDescent="0.25">
      <c r="A27" s="4" t="s">
        <v>163</v>
      </c>
      <c r="B27" s="4" t="s">
        <v>31</v>
      </c>
      <c r="C27" s="4" t="s">
        <v>32</v>
      </c>
      <c r="D27" s="4"/>
      <c r="E27" s="4" t="s">
        <v>8</v>
      </c>
    </row>
    <row r="28" spans="1:5" ht="12" x14ac:dyDescent="0.15">
      <c r="A28">
        <v>1</v>
      </c>
      <c r="B28" t="s">
        <v>63</v>
      </c>
      <c r="C28" t="b">
        <f>C19&lt;Project!C11</f>
        <v>1</v>
      </c>
      <c r="E28" s="5" t="s">
        <v>61</v>
      </c>
    </row>
    <row r="29" spans="1:5" ht="12" x14ac:dyDescent="0.15">
      <c r="A29">
        <f>A28+1</f>
        <v>2</v>
      </c>
      <c r="B29" t="s">
        <v>64</v>
      </c>
      <c r="C29" t="b">
        <f>C20&gt;Project!C11</f>
        <v>1</v>
      </c>
      <c r="E29" s="5" t="s">
        <v>61</v>
      </c>
    </row>
    <row r="30" spans="1:5" ht="12" customHeight="1" x14ac:dyDescent="0.15">
      <c r="A30">
        <f>A29+1</f>
        <v>3</v>
      </c>
      <c r="B30" t="s">
        <v>144</v>
      </c>
      <c r="C30" t="b">
        <f>C17&gt;C35</f>
        <v>1</v>
      </c>
      <c r="E30" t="s">
        <v>145</v>
      </c>
    </row>
    <row r="31" spans="1:5" ht="12" customHeight="1" x14ac:dyDescent="0.15">
      <c r="A31">
        <f>A30+1</f>
        <v>4</v>
      </c>
      <c r="B31" t="s">
        <v>346</v>
      </c>
      <c r="C31" t="b">
        <f>C37&lt;1/8</f>
        <v>1</v>
      </c>
      <c r="E31" t="s">
        <v>301</v>
      </c>
    </row>
    <row r="33" spans="1:5" ht="18" thickBot="1" x14ac:dyDescent="0.25">
      <c r="A33" s="2" t="s">
        <v>13</v>
      </c>
      <c r="B33" s="2"/>
      <c r="C33" s="2"/>
      <c r="D33" s="2"/>
      <c r="E33" s="2"/>
    </row>
    <row r="34" spans="1:5" ht="17" thickTop="1" thickBot="1" x14ac:dyDescent="0.25">
      <c r="A34" s="4" t="s">
        <v>163</v>
      </c>
      <c r="B34" s="4" t="s">
        <v>10</v>
      </c>
      <c r="C34" s="4" t="s">
        <v>37</v>
      </c>
      <c r="D34" s="4"/>
      <c r="E34" s="4" t="s">
        <v>8</v>
      </c>
    </row>
    <row r="35" spans="1:5" ht="12" x14ac:dyDescent="0.15">
      <c r="A35">
        <v>1</v>
      </c>
      <c r="B35" t="s">
        <v>159</v>
      </c>
      <c r="C35" s="16">
        <f>'Function Outputs'!C30+(2*'Motor Drive'!C62) + (2*'F0F-F0R'!C24)</f>
        <v>5.3330338000076444E-2</v>
      </c>
      <c r="D35" t="s">
        <v>7</v>
      </c>
      <c r="E35" t="s">
        <v>143</v>
      </c>
    </row>
    <row r="36" spans="1:5" ht="12" x14ac:dyDescent="0.15">
      <c r="A36">
        <f>A35+1</f>
        <v>2</v>
      </c>
      <c r="B36" t="s">
        <v>345</v>
      </c>
      <c r="C36" s="12">
        <f>Project!C11/C15</f>
        <v>3.3E-4</v>
      </c>
      <c r="D36" t="s">
        <v>7</v>
      </c>
      <c r="E36" t="s">
        <v>220</v>
      </c>
    </row>
    <row r="37" spans="1:5" ht="12" x14ac:dyDescent="0.15">
      <c r="A37">
        <f>A36+1</f>
        <v>3</v>
      </c>
      <c r="B37" t="s">
        <v>344</v>
      </c>
      <c r="C37" s="12">
        <f>Project!C11*C36</f>
        <v>1.0889999999999999E-3</v>
      </c>
      <c r="D37" t="s">
        <v>62</v>
      </c>
    </row>
    <row r="39" spans="1:5" ht="18" thickBot="1" x14ac:dyDescent="0.25">
      <c r="A39" s="2" t="s">
        <v>40</v>
      </c>
      <c r="B39" s="2"/>
      <c r="C39" s="2"/>
      <c r="D39" s="2"/>
      <c r="E39" s="2"/>
    </row>
    <row r="40" spans="1:5" ht="17" thickTop="1" thickBot="1" x14ac:dyDescent="0.25">
      <c r="A40" s="4" t="s">
        <v>161</v>
      </c>
      <c r="B40" s="4" t="s">
        <v>54</v>
      </c>
      <c r="C40" s="4" t="s">
        <v>188</v>
      </c>
      <c r="D40" s="4" t="s">
        <v>189</v>
      </c>
      <c r="E40" s="4" t="s">
        <v>211</v>
      </c>
    </row>
    <row r="41" spans="1:5" ht="12" x14ac:dyDescent="0.15">
      <c r="A41" t="s">
        <v>96</v>
      </c>
      <c r="B41" t="s">
        <v>214</v>
      </c>
      <c r="C41" s="13" t="s">
        <v>213</v>
      </c>
      <c r="D41" t="s">
        <v>190</v>
      </c>
      <c r="E41" t="s">
        <v>234</v>
      </c>
    </row>
    <row r="42" spans="1:5" ht="12" x14ac:dyDescent="0.15">
      <c r="A42" t="s">
        <v>204</v>
      </c>
      <c r="B42" t="s">
        <v>214</v>
      </c>
      <c r="C42" s="13" t="s">
        <v>213</v>
      </c>
      <c r="D42" t="s">
        <v>190</v>
      </c>
      <c r="E42" t="s">
        <v>234</v>
      </c>
    </row>
    <row r="43" spans="1:5" ht="12" x14ac:dyDescent="0.15">
      <c r="A43" t="s">
        <v>93</v>
      </c>
      <c r="B43" t="s">
        <v>216</v>
      </c>
      <c r="C43" s="13" t="s">
        <v>213</v>
      </c>
      <c r="D43" t="s">
        <v>190</v>
      </c>
      <c r="E43" t="s">
        <v>234</v>
      </c>
    </row>
    <row r="44" spans="1:5" ht="12" x14ac:dyDescent="0.15">
      <c r="A44" t="s">
        <v>92</v>
      </c>
      <c r="B44" t="s">
        <v>217</v>
      </c>
      <c r="C44" s="13" t="s">
        <v>213</v>
      </c>
      <c r="D44" t="s">
        <v>190</v>
      </c>
      <c r="E44" t="s">
        <v>234</v>
      </c>
    </row>
    <row r="45" spans="1:5" ht="12" x14ac:dyDescent="0.15">
      <c r="A45" t="s">
        <v>201</v>
      </c>
      <c r="B45" t="s">
        <v>38</v>
      </c>
      <c r="C45" t="s">
        <v>218</v>
      </c>
      <c r="D45" t="s">
        <v>215</v>
      </c>
      <c r="E45" t="s">
        <v>219</v>
      </c>
    </row>
    <row r="47" spans="1:5" ht="18" thickBot="1" x14ac:dyDescent="0.25">
      <c r="A47" s="2" t="s">
        <v>44</v>
      </c>
      <c r="B47" s="2"/>
      <c r="C47" s="2"/>
      <c r="D47" s="2"/>
      <c r="E47" s="2"/>
    </row>
    <row r="48" spans="1:5" ht="17" thickTop="1" thickBot="1" x14ac:dyDescent="0.25">
      <c r="A48" s="4" t="s">
        <v>200</v>
      </c>
      <c r="B48" s="4" t="s">
        <v>14</v>
      </c>
      <c r="C48" s="17"/>
      <c r="D48" s="4"/>
      <c r="E48" s="4"/>
    </row>
    <row r="49" spans="1:1" x14ac:dyDescent="0.15">
      <c r="A49">
        <v>1</v>
      </c>
    </row>
  </sheetData>
  <mergeCells count="2">
    <mergeCell ref="A4:E4"/>
    <mergeCell ref="A7:E7"/>
  </mergeCells>
  <hyperlinks>
    <hyperlink ref="B14" r:id="rId1" display="Vdrop@1ma" xr:uid="{D586073C-8E2B-AB4D-96FB-6CED291460FF}"/>
  </hyperlinks>
  <pageMargins left="0.45" right="0.45" top="0.25" bottom="0.25" header="0" footer="0"/>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8CBAA-309A-224B-8E23-8AE8F406AA5A}">
  <dimension ref="A1:E46"/>
  <sheetViews>
    <sheetView zoomScaleNormal="100" zoomScaleSheetLayoutView="100" workbookViewId="0">
      <selection activeCell="A37" sqref="A37"/>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284</v>
      </c>
      <c r="B1" s="1"/>
      <c r="C1" s="1"/>
      <c r="D1" s="1"/>
      <c r="E1" s="1"/>
    </row>
    <row r="2" spans="1:5" ht="12" thickTop="1" x14ac:dyDescent="0.15"/>
    <row r="3" spans="1:5" ht="18" thickBot="1" x14ac:dyDescent="0.25">
      <c r="A3" s="2" t="s">
        <v>8</v>
      </c>
      <c r="B3" s="2"/>
      <c r="C3" s="2"/>
      <c r="D3" s="2"/>
      <c r="E3" s="2"/>
    </row>
    <row r="4" spans="1:5" ht="24" customHeight="1" thickTop="1" x14ac:dyDescent="0.15">
      <c r="A4" s="24" t="s">
        <v>306</v>
      </c>
      <c r="B4" s="24"/>
      <c r="C4" s="24"/>
      <c r="D4" s="24"/>
      <c r="E4" s="24"/>
    </row>
    <row r="6" spans="1:5" ht="18" thickBot="1" x14ac:dyDescent="0.25">
      <c r="A6" s="2" t="s">
        <v>36</v>
      </c>
      <c r="B6" s="2"/>
      <c r="C6" s="2"/>
      <c r="D6" s="2"/>
      <c r="E6" s="2"/>
    </row>
    <row r="7" spans="1:5" ht="24" customHeight="1" thickTop="1" x14ac:dyDescent="0.15">
      <c r="A7" s="24" t="s">
        <v>307</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285</v>
      </c>
      <c r="B11" t="s">
        <v>320</v>
      </c>
      <c r="C11" s="20">
        <v>10000</v>
      </c>
      <c r="D11" t="s">
        <v>6</v>
      </c>
    </row>
    <row r="12" spans="1:5" ht="12" x14ac:dyDescent="0.15">
      <c r="A12" t="s">
        <v>286</v>
      </c>
      <c r="B12" t="s">
        <v>321</v>
      </c>
      <c r="C12" s="20">
        <v>10000</v>
      </c>
      <c r="D12" t="s">
        <v>6</v>
      </c>
    </row>
    <row r="13" spans="1:5" ht="12" x14ac:dyDescent="0.15">
      <c r="A13" t="s">
        <v>287</v>
      </c>
      <c r="B13" t="s">
        <v>2</v>
      </c>
      <c r="C13">
        <v>60</v>
      </c>
      <c r="D13" t="s">
        <v>5</v>
      </c>
      <c r="E13" t="s">
        <v>294</v>
      </c>
    </row>
    <row r="14" spans="1:5" ht="12" x14ac:dyDescent="0.15">
      <c r="A14" t="s">
        <v>287</v>
      </c>
      <c r="B14" t="s">
        <v>293</v>
      </c>
      <c r="C14">
        <v>20</v>
      </c>
      <c r="D14" t="s">
        <v>5</v>
      </c>
      <c r="E14" t="s">
        <v>295</v>
      </c>
    </row>
    <row r="15" spans="1:5" ht="12" x14ac:dyDescent="0.15">
      <c r="A15" t="s">
        <v>287</v>
      </c>
      <c r="B15" t="s">
        <v>16</v>
      </c>
      <c r="C15">
        <v>2.5</v>
      </c>
      <c r="D15" t="s">
        <v>5</v>
      </c>
      <c r="E15" t="s">
        <v>296</v>
      </c>
    </row>
    <row r="16" spans="1:5" ht="12" x14ac:dyDescent="0.15">
      <c r="A16" t="s">
        <v>287</v>
      </c>
      <c r="B16" t="s">
        <v>3</v>
      </c>
      <c r="C16">
        <v>2.5</v>
      </c>
      <c r="D16" t="s">
        <v>6</v>
      </c>
      <c r="E16" t="s">
        <v>27</v>
      </c>
    </row>
    <row r="17" spans="1:5" ht="12" x14ac:dyDescent="0.15">
      <c r="A17" t="s">
        <v>287</v>
      </c>
      <c r="B17" t="s">
        <v>4</v>
      </c>
      <c r="C17">
        <v>0.115</v>
      </c>
      <c r="D17" t="s">
        <v>7</v>
      </c>
      <c r="E17" t="s">
        <v>26</v>
      </c>
    </row>
    <row r="18" spans="1:5" ht="12" customHeight="1" x14ac:dyDescent="0.15">
      <c r="A18" t="s">
        <v>287</v>
      </c>
      <c r="B18" t="s">
        <v>15</v>
      </c>
      <c r="C18">
        <v>4.9999999999999998E-8</v>
      </c>
      <c r="D18" t="s">
        <v>75</v>
      </c>
      <c r="E18" t="s">
        <v>27</v>
      </c>
    </row>
    <row r="19" spans="1:5" ht="12" x14ac:dyDescent="0.15">
      <c r="A19" t="s">
        <v>287</v>
      </c>
      <c r="B19" t="s">
        <v>17</v>
      </c>
      <c r="C19">
        <v>120</v>
      </c>
      <c r="D19" t="s">
        <v>6</v>
      </c>
      <c r="E19" t="s">
        <v>27</v>
      </c>
    </row>
    <row r="20" spans="1:5" x14ac:dyDescent="0.15">
      <c r="E20" s="5"/>
    </row>
    <row r="21" spans="1:5" ht="18" thickBot="1" x14ac:dyDescent="0.25">
      <c r="A21" s="2" t="s">
        <v>18</v>
      </c>
      <c r="B21" s="2"/>
      <c r="C21" s="2"/>
      <c r="D21" s="2"/>
      <c r="E21" s="2"/>
    </row>
    <row r="22" spans="1:5" ht="17" thickTop="1" thickBot="1" x14ac:dyDescent="0.25">
      <c r="A22" s="4" t="s">
        <v>163</v>
      </c>
      <c r="B22" s="4" t="s">
        <v>31</v>
      </c>
      <c r="C22" s="4" t="s">
        <v>32</v>
      </c>
      <c r="D22" s="4"/>
      <c r="E22" s="4" t="s">
        <v>8</v>
      </c>
    </row>
    <row r="23" spans="1:5" ht="12" x14ac:dyDescent="0.15">
      <c r="A23">
        <v>1</v>
      </c>
      <c r="B23" t="s">
        <v>288</v>
      </c>
      <c r="C23" t="b">
        <f>C13&gt;Project!C11</f>
        <v>1</v>
      </c>
      <c r="E23" s="5"/>
    </row>
    <row r="24" spans="1:5" ht="24" x14ac:dyDescent="0.15">
      <c r="A24">
        <f t="shared" ref="A24:A29" si="0">A23+1</f>
        <v>2</v>
      </c>
      <c r="B24" t="s">
        <v>291</v>
      </c>
      <c r="C24" t="b">
        <f>C15&lt;C33</f>
        <v>1</v>
      </c>
      <c r="E24" s="5"/>
    </row>
    <row r="25" spans="1:5" ht="24" x14ac:dyDescent="0.15">
      <c r="A25">
        <f t="shared" si="0"/>
        <v>3</v>
      </c>
      <c r="B25" t="s">
        <v>292</v>
      </c>
      <c r="C25" t="b">
        <f>C15&lt;C34</f>
        <v>1</v>
      </c>
    </row>
    <row r="26" spans="1:5" ht="24" x14ac:dyDescent="0.15">
      <c r="A26">
        <f t="shared" si="0"/>
        <v>4</v>
      </c>
      <c r="B26" t="s">
        <v>297</v>
      </c>
      <c r="C26" t="b">
        <f>C14&gt;C33</f>
        <v>1</v>
      </c>
    </row>
    <row r="27" spans="1:5" ht="24" x14ac:dyDescent="0.15">
      <c r="A27">
        <f t="shared" si="0"/>
        <v>5</v>
      </c>
      <c r="B27" t="s">
        <v>298</v>
      </c>
      <c r="C27" t="b">
        <f>C14&gt;C34</f>
        <v>1</v>
      </c>
    </row>
    <row r="28" spans="1:5" ht="12" x14ac:dyDescent="0.15">
      <c r="A28">
        <f t="shared" si="0"/>
        <v>6</v>
      </c>
      <c r="B28" t="s">
        <v>305</v>
      </c>
      <c r="C28" t="b">
        <f>C35&lt;1/8</f>
        <v>1</v>
      </c>
      <c r="E28" t="s">
        <v>301</v>
      </c>
    </row>
    <row r="29" spans="1:5" ht="12" x14ac:dyDescent="0.15">
      <c r="A29">
        <f t="shared" si="0"/>
        <v>7</v>
      </c>
      <c r="B29" t="s">
        <v>305</v>
      </c>
      <c r="C29" t="b">
        <f>C36&lt;1/8</f>
        <v>1</v>
      </c>
      <c r="E29" t="s">
        <v>301</v>
      </c>
    </row>
    <row r="31" spans="1:5" ht="18" thickBot="1" x14ac:dyDescent="0.25">
      <c r="A31" s="2" t="s">
        <v>13</v>
      </c>
      <c r="B31" s="2"/>
      <c r="C31" s="2"/>
      <c r="D31" s="2"/>
      <c r="E31" s="2"/>
    </row>
    <row r="32" spans="1:5" ht="17" thickTop="1" thickBot="1" x14ac:dyDescent="0.25">
      <c r="A32" s="4" t="s">
        <v>163</v>
      </c>
      <c r="B32" s="4" t="s">
        <v>10</v>
      </c>
      <c r="C32" s="4" t="s">
        <v>37</v>
      </c>
      <c r="D32" s="4"/>
      <c r="E32" s="4" t="s">
        <v>8</v>
      </c>
    </row>
    <row r="33" spans="1:5" ht="12" x14ac:dyDescent="0.15">
      <c r="A33">
        <v>1</v>
      </c>
      <c r="B33" t="s">
        <v>289</v>
      </c>
      <c r="C33">
        <f>(Project!C8*C11)/(C11+C12)</f>
        <v>15</v>
      </c>
      <c r="D33" t="s">
        <v>5</v>
      </c>
    </row>
    <row r="34" spans="1:5" ht="12" x14ac:dyDescent="0.15">
      <c r="A34">
        <f t="shared" ref="A34:A36" si="1">A33+1</f>
        <v>2</v>
      </c>
      <c r="B34" t="s">
        <v>290</v>
      </c>
      <c r="C34" s="20">
        <f>(Project!C9*C11)/(C11+C12)</f>
        <v>3</v>
      </c>
      <c r="D34" t="s">
        <v>5</v>
      </c>
    </row>
    <row r="35" spans="1:5" ht="12" x14ac:dyDescent="0.15">
      <c r="A35">
        <f t="shared" si="1"/>
        <v>3</v>
      </c>
      <c r="B35" t="s">
        <v>303</v>
      </c>
      <c r="C35" s="16">
        <f>C33^2/C11</f>
        <v>2.2499999999999999E-2</v>
      </c>
      <c r="D35" t="s">
        <v>62</v>
      </c>
      <c r="E35" t="s">
        <v>302</v>
      </c>
    </row>
    <row r="36" spans="1:5" ht="12" x14ac:dyDescent="0.15">
      <c r="A36">
        <f t="shared" si="1"/>
        <v>4</v>
      </c>
      <c r="B36" t="s">
        <v>304</v>
      </c>
      <c r="C36" s="16">
        <f>C33^2/C12</f>
        <v>2.2499999999999999E-2</v>
      </c>
      <c r="D36" t="s">
        <v>62</v>
      </c>
      <c r="E36" t="s">
        <v>302</v>
      </c>
    </row>
    <row r="37" spans="1:5" x14ac:dyDescent="0.15">
      <c r="C37" s="16"/>
    </row>
    <row r="38" spans="1:5" x14ac:dyDescent="0.15">
      <c r="C38" s="16"/>
    </row>
    <row r="39" spans="1:5" ht="18" thickBot="1" x14ac:dyDescent="0.25">
      <c r="A39" s="2" t="s">
        <v>40</v>
      </c>
      <c r="B39" s="2"/>
      <c r="C39" s="2"/>
      <c r="D39" s="2"/>
      <c r="E39" s="2"/>
    </row>
    <row r="40" spans="1:5" ht="17" thickTop="1" thickBot="1" x14ac:dyDescent="0.25">
      <c r="A40" s="4" t="s">
        <v>161</v>
      </c>
      <c r="B40" s="4" t="s">
        <v>54</v>
      </c>
      <c r="C40" s="4" t="s">
        <v>188</v>
      </c>
      <c r="D40" s="4" t="s">
        <v>189</v>
      </c>
      <c r="E40" s="4" t="s">
        <v>211</v>
      </c>
    </row>
    <row r="41" spans="1:5" ht="12" x14ac:dyDescent="0.15">
      <c r="A41" t="s">
        <v>94</v>
      </c>
      <c r="B41" t="s">
        <v>300</v>
      </c>
      <c r="C41" s="13" t="s">
        <v>213</v>
      </c>
      <c r="D41" t="s">
        <v>190</v>
      </c>
      <c r="E41" t="s">
        <v>234</v>
      </c>
    </row>
    <row r="43" spans="1:5" ht="18" thickBot="1" x14ac:dyDescent="0.25">
      <c r="A43" s="2" t="s">
        <v>44</v>
      </c>
      <c r="B43" s="2"/>
      <c r="C43" s="2"/>
      <c r="D43" s="2"/>
      <c r="E43" s="2"/>
    </row>
    <row r="44" spans="1:5" ht="17" thickTop="1" thickBot="1" x14ac:dyDescent="0.25">
      <c r="A44" s="4" t="s">
        <v>200</v>
      </c>
      <c r="B44" s="4" t="s">
        <v>14</v>
      </c>
      <c r="C44" s="17"/>
      <c r="D44" s="4"/>
      <c r="E44" s="4"/>
    </row>
    <row r="45" spans="1:5" ht="11" customHeight="1" x14ac:dyDescent="0.15">
      <c r="A45">
        <v>1</v>
      </c>
      <c r="B45" s="27" t="s">
        <v>299</v>
      </c>
      <c r="C45" s="27"/>
      <c r="D45" s="27"/>
      <c r="E45" s="27"/>
    </row>
    <row r="46" spans="1:5" ht="56" customHeight="1" x14ac:dyDescent="0.15">
      <c r="A46">
        <f>A45+1</f>
        <v>2</v>
      </c>
      <c r="B46" s="26" t="s">
        <v>360</v>
      </c>
      <c r="C46" s="26"/>
      <c r="D46" s="26"/>
      <c r="E46" s="26"/>
    </row>
  </sheetData>
  <mergeCells count="4">
    <mergeCell ref="A4:E4"/>
    <mergeCell ref="A7:E7"/>
    <mergeCell ref="B45:E45"/>
    <mergeCell ref="B46:E46"/>
  </mergeCells>
  <pageMargins left="0.45" right="0.45" top="0.25" bottom="0.25" header="0" footer="0"/>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BA66-A2E4-5B45-9BD4-8D39D01F419A}">
  <dimension ref="A1:E79"/>
  <sheetViews>
    <sheetView tabSelected="1" view="pageBreakPreview" zoomScaleNormal="100" zoomScaleSheetLayoutView="100" workbookViewId="0">
      <selection activeCell="A9" sqref="A9:E9"/>
    </sheetView>
  </sheetViews>
  <sheetFormatPr baseColWidth="10" defaultRowHeight="11" x14ac:dyDescent="0.15"/>
  <cols>
    <col min="1" max="1" width="11" customWidth="1"/>
    <col min="2" max="2" width="25.796875" customWidth="1"/>
    <col min="3" max="3" width="13" customWidth="1"/>
    <col min="4" max="4" width="8" customWidth="1"/>
    <col min="5" max="5" width="51" customWidth="1"/>
  </cols>
  <sheetData>
    <row r="1" spans="1:5" ht="21" thickBot="1" x14ac:dyDescent="0.3">
      <c r="A1" s="1" t="s">
        <v>266</v>
      </c>
      <c r="B1" s="1"/>
      <c r="C1" s="1"/>
      <c r="D1" s="1"/>
      <c r="E1" s="1"/>
    </row>
    <row r="2" spans="1:5" ht="12" thickTop="1" x14ac:dyDescent="0.15"/>
    <row r="3" spans="1:5" ht="18" thickBot="1" x14ac:dyDescent="0.25">
      <c r="A3" s="2" t="s">
        <v>8</v>
      </c>
      <c r="B3" s="2"/>
      <c r="C3" s="2"/>
      <c r="D3" s="2"/>
      <c r="E3" s="2"/>
    </row>
    <row r="4" spans="1:5" ht="36" customHeight="1" thickTop="1" x14ac:dyDescent="0.15">
      <c r="A4" s="26" t="s">
        <v>283</v>
      </c>
      <c r="B4" s="26"/>
      <c r="C4" s="26"/>
      <c r="D4" s="26"/>
      <c r="E4" s="26"/>
    </row>
    <row r="6" spans="1:5" ht="18" thickBot="1" x14ac:dyDescent="0.25">
      <c r="A6" s="2" t="s">
        <v>36</v>
      </c>
      <c r="B6" s="2"/>
      <c r="C6" s="2"/>
      <c r="D6" s="2"/>
      <c r="E6" s="2"/>
    </row>
    <row r="7" spans="1:5" ht="36" customHeight="1" thickTop="1" x14ac:dyDescent="0.15">
      <c r="A7" s="26" t="s">
        <v>416</v>
      </c>
      <c r="B7" s="26"/>
      <c r="C7" s="26"/>
      <c r="D7" s="26"/>
      <c r="E7" s="26"/>
    </row>
    <row r="8" spans="1:5" ht="60" customHeight="1" x14ac:dyDescent="0.15">
      <c r="A8" s="26" t="s">
        <v>418</v>
      </c>
      <c r="B8" s="26"/>
      <c r="C8" s="26"/>
      <c r="D8" s="26"/>
      <c r="E8" s="26"/>
    </row>
    <row r="9" spans="1:5" ht="24" customHeight="1" x14ac:dyDescent="0.15">
      <c r="A9" s="26" t="s">
        <v>417</v>
      </c>
      <c r="B9" s="26"/>
      <c r="C9" s="26"/>
      <c r="D9" s="26"/>
      <c r="E9" s="26"/>
    </row>
    <row r="10" spans="1:5" x14ac:dyDescent="0.15">
      <c r="B10" s="7"/>
      <c r="C10" s="7"/>
      <c r="D10" s="7"/>
      <c r="E10" s="7"/>
    </row>
    <row r="11" spans="1:5" ht="18" thickBot="1" x14ac:dyDescent="0.25">
      <c r="A11" s="2" t="s">
        <v>0</v>
      </c>
      <c r="B11" s="2"/>
      <c r="C11" s="2"/>
      <c r="D11" s="2"/>
      <c r="E11" s="2"/>
    </row>
    <row r="12" spans="1:5" ht="17" thickTop="1" thickBot="1" x14ac:dyDescent="0.25">
      <c r="A12" s="4" t="s">
        <v>161</v>
      </c>
      <c r="B12" s="4" t="s">
        <v>9</v>
      </c>
      <c r="C12" s="4" t="s">
        <v>10</v>
      </c>
      <c r="D12" s="4" t="s">
        <v>11</v>
      </c>
      <c r="E12" s="4" t="s">
        <v>14</v>
      </c>
    </row>
    <row r="13" spans="1:5" ht="12" x14ac:dyDescent="0.15">
      <c r="A13" t="s">
        <v>340</v>
      </c>
      <c r="B13" t="s">
        <v>341</v>
      </c>
      <c r="C13" s="12">
        <v>1.0000000000000001E-5</v>
      </c>
      <c r="D13" t="s">
        <v>95</v>
      </c>
      <c r="E13" t="s">
        <v>342</v>
      </c>
    </row>
    <row r="14" spans="1:5" ht="12" x14ac:dyDescent="0.15">
      <c r="A14" t="s">
        <v>263</v>
      </c>
      <c r="B14" t="s">
        <v>2</v>
      </c>
      <c r="C14">
        <v>-60</v>
      </c>
      <c r="D14" t="s">
        <v>5</v>
      </c>
      <c r="E14" t="s">
        <v>361</v>
      </c>
    </row>
    <row r="15" spans="1:5" ht="12" x14ac:dyDescent="0.15">
      <c r="A15" t="s">
        <v>263</v>
      </c>
      <c r="B15" t="s">
        <v>393</v>
      </c>
      <c r="C15">
        <v>-20</v>
      </c>
      <c r="D15" t="s">
        <v>5</v>
      </c>
    </row>
    <row r="16" spans="1:5" ht="12" x14ac:dyDescent="0.15">
      <c r="A16" t="s">
        <v>263</v>
      </c>
      <c r="B16" t="s">
        <v>16</v>
      </c>
      <c r="C16">
        <v>-2.5</v>
      </c>
      <c r="D16" t="s">
        <v>5</v>
      </c>
    </row>
    <row r="17" spans="1:5" ht="12" x14ac:dyDescent="0.15">
      <c r="A17" t="s">
        <v>263</v>
      </c>
      <c r="B17" t="s">
        <v>3</v>
      </c>
      <c r="C17">
        <v>0.45</v>
      </c>
      <c r="D17" t="s">
        <v>6</v>
      </c>
      <c r="E17" t="s">
        <v>77</v>
      </c>
    </row>
    <row r="18" spans="1:5" ht="12" x14ac:dyDescent="0.15">
      <c r="A18" t="s">
        <v>263</v>
      </c>
      <c r="B18" t="s">
        <v>4</v>
      </c>
      <c r="C18">
        <v>-2</v>
      </c>
      <c r="D18" t="s">
        <v>7</v>
      </c>
    </row>
    <row r="19" spans="1:5" ht="12" x14ac:dyDescent="0.15">
      <c r="A19" t="s">
        <v>264</v>
      </c>
      <c r="B19" t="s">
        <v>82</v>
      </c>
      <c r="C19">
        <v>50</v>
      </c>
      <c r="D19" t="s">
        <v>5</v>
      </c>
      <c r="E19" t="s">
        <v>362</v>
      </c>
    </row>
    <row r="20" spans="1:5" ht="12" x14ac:dyDescent="0.15">
      <c r="A20" t="s">
        <v>264</v>
      </c>
      <c r="B20" t="s">
        <v>84</v>
      </c>
      <c r="C20">
        <v>1.3</v>
      </c>
      <c r="D20" t="s">
        <v>5</v>
      </c>
      <c r="E20" t="s">
        <v>77</v>
      </c>
    </row>
    <row r="21" spans="1:5" ht="12" x14ac:dyDescent="0.15">
      <c r="A21" t="s">
        <v>264</v>
      </c>
      <c r="B21" t="s">
        <v>85</v>
      </c>
      <c r="C21">
        <v>1.8E-3</v>
      </c>
      <c r="D21" t="s">
        <v>7</v>
      </c>
      <c r="E21" t="s">
        <v>77</v>
      </c>
    </row>
    <row r="22" spans="1:5" ht="12" x14ac:dyDescent="0.15">
      <c r="A22" t="s">
        <v>264</v>
      </c>
      <c r="B22" t="s">
        <v>83</v>
      </c>
      <c r="C22">
        <v>0.1</v>
      </c>
      <c r="D22" t="s">
        <v>7</v>
      </c>
    </row>
    <row r="23" spans="1:5" ht="12" x14ac:dyDescent="0.15">
      <c r="A23" t="s">
        <v>262</v>
      </c>
      <c r="B23" t="s">
        <v>2</v>
      </c>
      <c r="C23">
        <v>60</v>
      </c>
      <c r="D23" t="s">
        <v>5</v>
      </c>
      <c r="E23" t="s">
        <v>363</v>
      </c>
    </row>
    <row r="24" spans="1:5" ht="12" x14ac:dyDescent="0.15">
      <c r="A24" t="s">
        <v>262</v>
      </c>
      <c r="B24" t="s">
        <v>393</v>
      </c>
      <c r="C24">
        <v>20</v>
      </c>
      <c r="D24" t="s">
        <v>5</v>
      </c>
    </row>
    <row r="25" spans="1:5" ht="12" x14ac:dyDescent="0.15">
      <c r="A25" t="s">
        <v>262</v>
      </c>
      <c r="B25" t="s">
        <v>16</v>
      </c>
      <c r="C25">
        <v>3</v>
      </c>
      <c r="D25" t="s">
        <v>5</v>
      </c>
    </row>
    <row r="26" spans="1:5" ht="12" x14ac:dyDescent="0.15">
      <c r="A26" t="s">
        <v>262</v>
      </c>
      <c r="B26" t="s">
        <v>3</v>
      </c>
      <c r="C26">
        <v>0.17</v>
      </c>
      <c r="D26" t="s">
        <v>6</v>
      </c>
      <c r="E26" t="s">
        <v>77</v>
      </c>
    </row>
    <row r="27" spans="1:5" ht="12" x14ac:dyDescent="0.15">
      <c r="A27" t="s">
        <v>262</v>
      </c>
      <c r="B27" t="s">
        <v>4</v>
      </c>
      <c r="C27">
        <v>1.2</v>
      </c>
      <c r="D27" t="s">
        <v>7</v>
      </c>
      <c r="E27" t="s">
        <v>78</v>
      </c>
    </row>
    <row r="28" spans="1:5" ht="12" x14ac:dyDescent="0.15">
      <c r="A28" t="s">
        <v>262</v>
      </c>
      <c r="B28" t="s">
        <v>17</v>
      </c>
      <c r="C28">
        <v>120</v>
      </c>
      <c r="D28" t="s">
        <v>6</v>
      </c>
      <c r="E28" t="s">
        <v>27</v>
      </c>
    </row>
    <row r="29" spans="1:5" ht="12" x14ac:dyDescent="0.15">
      <c r="A29" t="s">
        <v>267</v>
      </c>
      <c r="B29" t="s">
        <v>271</v>
      </c>
      <c r="C29">
        <v>10000</v>
      </c>
      <c r="D29" t="s">
        <v>6</v>
      </c>
      <c r="E29" t="s">
        <v>397</v>
      </c>
    </row>
    <row r="30" spans="1:5" ht="12" x14ac:dyDescent="0.15">
      <c r="A30" t="s">
        <v>268</v>
      </c>
      <c r="B30" t="s">
        <v>272</v>
      </c>
      <c r="C30">
        <v>10000</v>
      </c>
      <c r="D30" t="s">
        <v>6</v>
      </c>
      <c r="E30" t="s">
        <v>398</v>
      </c>
    </row>
    <row r="31" spans="1:5" ht="12" x14ac:dyDescent="0.15">
      <c r="A31" t="s">
        <v>269</v>
      </c>
      <c r="B31" t="s">
        <v>273</v>
      </c>
      <c r="C31">
        <v>390</v>
      </c>
      <c r="D31" t="s">
        <v>6</v>
      </c>
      <c r="E31" t="s">
        <v>365</v>
      </c>
    </row>
    <row r="32" spans="1:5" ht="12" x14ac:dyDescent="0.15">
      <c r="A32" t="s">
        <v>407</v>
      </c>
      <c r="B32" t="s">
        <v>274</v>
      </c>
      <c r="C32">
        <v>3000</v>
      </c>
      <c r="D32" t="s">
        <v>6</v>
      </c>
      <c r="E32" t="s">
        <v>364</v>
      </c>
    </row>
    <row r="33" spans="1:5" ht="12" x14ac:dyDescent="0.15">
      <c r="A33" t="s">
        <v>408</v>
      </c>
      <c r="B33" t="s">
        <v>409</v>
      </c>
      <c r="C33">
        <v>390</v>
      </c>
      <c r="D33" t="s">
        <v>6</v>
      </c>
      <c r="E33" t="s">
        <v>364</v>
      </c>
    </row>
    <row r="35" spans="1:5" ht="18" thickBot="1" x14ac:dyDescent="0.25">
      <c r="A35" s="2" t="s">
        <v>18</v>
      </c>
      <c r="B35" s="2"/>
      <c r="C35" s="2"/>
      <c r="D35" s="2"/>
      <c r="E35" s="2"/>
    </row>
    <row r="36" spans="1:5" ht="17" thickTop="1" thickBot="1" x14ac:dyDescent="0.25">
      <c r="A36" s="4" t="s">
        <v>200</v>
      </c>
      <c r="B36" s="4" t="s">
        <v>31</v>
      </c>
      <c r="C36" s="4" t="s">
        <v>32</v>
      </c>
      <c r="D36" s="4"/>
      <c r="E36" s="4" t="s">
        <v>8</v>
      </c>
    </row>
    <row r="37" spans="1:5" ht="12" x14ac:dyDescent="0.15">
      <c r="A37">
        <v>1</v>
      </c>
      <c r="B37" t="s">
        <v>390</v>
      </c>
      <c r="C37" t="b">
        <f>C14&lt;-1*Project!C8</f>
        <v>1</v>
      </c>
      <c r="E37" t="s">
        <v>328</v>
      </c>
    </row>
    <row r="38" spans="1:5" ht="36" x14ac:dyDescent="0.15">
      <c r="A38">
        <f t="shared" ref="A38:A50" si="0">A37+1</f>
        <v>2</v>
      </c>
      <c r="B38" t="s">
        <v>415</v>
      </c>
      <c r="C38" t="b">
        <f>C16&gt;-1*C57</f>
        <v>1</v>
      </c>
      <c r="E38" t="s">
        <v>322</v>
      </c>
    </row>
    <row r="39" spans="1:5" ht="24" x14ac:dyDescent="0.15">
      <c r="A39">
        <f t="shared" si="0"/>
        <v>3</v>
      </c>
      <c r="B39" t="s">
        <v>414</v>
      </c>
      <c r="C39" t="b">
        <f>C15&lt;-1*C56</f>
        <v>1</v>
      </c>
      <c r="E39" t="s">
        <v>391</v>
      </c>
    </row>
    <row r="40" spans="1:5" ht="12" x14ac:dyDescent="0.15">
      <c r="A40">
        <f>A39+1</f>
        <v>4</v>
      </c>
      <c r="B40" t="s">
        <v>323</v>
      </c>
      <c r="C40" t="b">
        <f>-1*C18&gt;Project!C13</f>
        <v>1</v>
      </c>
      <c r="E40" t="s">
        <v>35</v>
      </c>
    </row>
    <row r="41" spans="1:5" ht="24" x14ac:dyDescent="0.15">
      <c r="A41">
        <f t="shared" si="0"/>
        <v>5</v>
      </c>
      <c r="B41" t="s">
        <v>324</v>
      </c>
      <c r="C41" t="b">
        <f>C19&gt;Project!C8</f>
        <v>1</v>
      </c>
      <c r="E41" t="s">
        <v>327</v>
      </c>
    </row>
    <row r="42" spans="1:5" ht="24" x14ac:dyDescent="0.15">
      <c r="A42">
        <f t="shared" si="0"/>
        <v>6</v>
      </c>
      <c r="B42" t="s">
        <v>401</v>
      </c>
      <c r="C42" t="b">
        <f>C22&gt;C60</f>
        <v>1</v>
      </c>
      <c r="E42" t="s">
        <v>329</v>
      </c>
    </row>
    <row r="43" spans="1:5" ht="12" x14ac:dyDescent="0.15">
      <c r="A43">
        <f t="shared" si="0"/>
        <v>7</v>
      </c>
      <c r="B43" t="s">
        <v>326</v>
      </c>
      <c r="C43" t="b">
        <f>C62&lt;Processor!C16</f>
        <v>1</v>
      </c>
      <c r="E43" t="s">
        <v>330</v>
      </c>
    </row>
    <row r="44" spans="1:5" ht="12" x14ac:dyDescent="0.15">
      <c r="A44">
        <f t="shared" si="0"/>
        <v>8</v>
      </c>
      <c r="B44" t="s">
        <v>406</v>
      </c>
      <c r="C44" t="b">
        <f>C61&lt;(1/8)</f>
        <v>1</v>
      </c>
      <c r="E44" t="s">
        <v>80</v>
      </c>
    </row>
    <row r="45" spans="1:5" ht="12" x14ac:dyDescent="0.15">
      <c r="A45">
        <f t="shared" si="0"/>
        <v>9</v>
      </c>
      <c r="B45" t="s">
        <v>278</v>
      </c>
      <c r="C45" t="b">
        <f>C23&gt;Project!C8</f>
        <v>1</v>
      </c>
      <c r="E45" t="s">
        <v>328</v>
      </c>
    </row>
    <row r="46" spans="1:5" ht="12" x14ac:dyDescent="0.15">
      <c r="A46">
        <f t="shared" si="0"/>
        <v>10</v>
      </c>
      <c r="B46" t="s">
        <v>392</v>
      </c>
      <c r="C46" t="b">
        <f>C25&lt;Project!C11</f>
        <v>1</v>
      </c>
      <c r="E46" t="s">
        <v>34</v>
      </c>
    </row>
    <row r="47" spans="1:5" ht="12" x14ac:dyDescent="0.15">
      <c r="A47">
        <f t="shared" si="0"/>
        <v>11</v>
      </c>
      <c r="B47" t="s">
        <v>394</v>
      </c>
      <c r="C47" t="b">
        <f>C24&gt;Project!C11</f>
        <v>1</v>
      </c>
      <c r="E47" t="s">
        <v>402</v>
      </c>
    </row>
    <row r="48" spans="1:5" ht="12" x14ac:dyDescent="0.15">
      <c r="A48">
        <f t="shared" si="0"/>
        <v>12</v>
      </c>
      <c r="B48" t="s">
        <v>280</v>
      </c>
      <c r="C48" t="b">
        <f>C27&gt;Project!C13</f>
        <v>1</v>
      </c>
      <c r="E48" t="s">
        <v>35</v>
      </c>
    </row>
    <row r="49" spans="1:5" ht="24" x14ac:dyDescent="0.15">
      <c r="A49">
        <f t="shared" si="0"/>
        <v>13</v>
      </c>
      <c r="B49" t="s">
        <v>279</v>
      </c>
      <c r="C49" t="b">
        <f>C59&lt;Processor!C16</f>
        <v>1</v>
      </c>
      <c r="E49" t="s">
        <v>46</v>
      </c>
    </row>
    <row r="50" spans="1:5" ht="24" x14ac:dyDescent="0.15">
      <c r="A50">
        <f t="shared" si="0"/>
        <v>14</v>
      </c>
      <c r="B50" t="s">
        <v>332</v>
      </c>
      <c r="C50" t="b">
        <f>C64&lt;Project!C11</f>
        <v>1</v>
      </c>
      <c r="E50" t="s">
        <v>336</v>
      </c>
    </row>
    <row r="52" spans="1:5" ht="18" thickBot="1" x14ac:dyDescent="0.25">
      <c r="A52" s="2" t="s">
        <v>13</v>
      </c>
      <c r="B52" s="2"/>
      <c r="C52" s="2"/>
      <c r="D52" s="2"/>
      <c r="E52" s="2"/>
    </row>
    <row r="53" spans="1:5" ht="17" thickTop="1" thickBot="1" x14ac:dyDescent="0.25">
      <c r="A53" s="4" t="s">
        <v>200</v>
      </c>
      <c r="B53" s="4" t="s">
        <v>41</v>
      </c>
      <c r="C53" s="4" t="s">
        <v>37</v>
      </c>
      <c r="D53" s="4" t="s">
        <v>11</v>
      </c>
      <c r="E53" s="4" t="s">
        <v>8</v>
      </c>
    </row>
    <row r="54" spans="1:5" ht="24" x14ac:dyDescent="0.15">
      <c r="A54">
        <v>1</v>
      </c>
      <c r="B54" t="s">
        <v>395</v>
      </c>
      <c r="C54">
        <f>(Project!C8*C30)/(C29+C30)</f>
        <v>15</v>
      </c>
      <c r="D54" t="s">
        <v>5</v>
      </c>
      <c r="E54" t="s">
        <v>399</v>
      </c>
    </row>
    <row r="55" spans="1:5" ht="24" x14ac:dyDescent="0.15">
      <c r="A55">
        <f t="shared" ref="A55:A64" si="1">A54+1</f>
        <v>2</v>
      </c>
      <c r="B55" t="s">
        <v>396</v>
      </c>
      <c r="C55">
        <f>(Project!C9*C30)/(C29+C30)</f>
        <v>3</v>
      </c>
      <c r="D55" t="s">
        <v>5</v>
      </c>
      <c r="E55" t="s">
        <v>399</v>
      </c>
    </row>
    <row r="56" spans="1:5" ht="12" x14ac:dyDescent="0.15">
      <c r="B56" t="s">
        <v>412</v>
      </c>
      <c r="C56">
        <f>Project!C8-C54</f>
        <v>15</v>
      </c>
      <c r="D56" t="s">
        <v>5</v>
      </c>
      <c r="E56" t="s">
        <v>410</v>
      </c>
    </row>
    <row r="57" spans="1:5" ht="12" x14ac:dyDescent="0.15">
      <c r="B57" t="s">
        <v>413</v>
      </c>
      <c r="C57">
        <f>Project!C9-C55</f>
        <v>3</v>
      </c>
      <c r="D57" t="s">
        <v>5</v>
      </c>
      <c r="E57" t="s">
        <v>411</v>
      </c>
    </row>
    <row r="58" spans="1:5" ht="12" x14ac:dyDescent="0.15">
      <c r="A58">
        <f>A55+1</f>
        <v>3</v>
      </c>
      <c r="B58" t="s">
        <v>281</v>
      </c>
      <c r="C58">
        <f>Project!C11/Processor!C16</f>
        <v>131.99999999999997</v>
      </c>
      <c r="D58" t="s">
        <v>6</v>
      </c>
      <c r="E58" t="s">
        <v>39</v>
      </c>
    </row>
    <row r="59" spans="1:5" ht="12" x14ac:dyDescent="0.15">
      <c r="A59">
        <f t="shared" si="1"/>
        <v>4</v>
      </c>
      <c r="B59" t="s">
        <v>282</v>
      </c>
      <c r="C59" s="16">
        <f>Project!C11/C31</f>
        <v>8.4615384615384613E-3</v>
      </c>
      <c r="D59" t="s">
        <v>7</v>
      </c>
      <c r="E59" t="s">
        <v>43</v>
      </c>
    </row>
    <row r="60" spans="1:5" ht="12" x14ac:dyDescent="0.15">
      <c r="A60">
        <f t="shared" si="1"/>
        <v>5</v>
      </c>
      <c r="B60" t="s">
        <v>400</v>
      </c>
      <c r="C60" s="16">
        <f>Project!C8/(C29+C30)</f>
        <v>1.5E-3</v>
      </c>
      <c r="D60" t="s">
        <v>7</v>
      </c>
      <c r="E60" t="s">
        <v>404</v>
      </c>
    </row>
    <row r="61" spans="1:5" ht="12" x14ac:dyDescent="0.15">
      <c r="A61">
        <f t="shared" si="1"/>
        <v>6</v>
      </c>
      <c r="B61" t="s">
        <v>403</v>
      </c>
      <c r="C61" s="16">
        <f>Project!C8^2/C29</f>
        <v>0.09</v>
      </c>
      <c r="D61" t="s">
        <v>62</v>
      </c>
      <c r="E61" t="s">
        <v>405</v>
      </c>
    </row>
    <row r="62" spans="1:5" ht="12" x14ac:dyDescent="0.15">
      <c r="A62">
        <f t="shared" si="1"/>
        <v>7</v>
      </c>
      <c r="B62" t="s">
        <v>325</v>
      </c>
      <c r="C62" s="12">
        <f>Project!C11/(4700 + (47000*C30/(47000+C30)))</f>
        <v>2.5491258978181322E-4</v>
      </c>
      <c r="D62" t="s">
        <v>7</v>
      </c>
      <c r="E62" t="s">
        <v>335</v>
      </c>
    </row>
    <row r="63" spans="1:5" ht="12" x14ac:dyDescent="0.15">
      <c r="A63">
        <f t="shared" si="1"/>
        <v>8</v>
      </c>
      <c r="B63" t="s">
        <v>333</v>
      </c>
      <c r="C63" s="20">
        <f>C32*C33/(C32+C33)</f>
        <v>345.13274336283183</v>
      </c>
      <c r="D63" t="s">
        <v>6</v>
      </c>
    </row>
    <row r="64" spans="1:5" ht="24" x14ac:dyDescent="0.15">
      <c r="A64">
        <f t="shared" si="1"/>
        <v>9</v>
      </c>
      <c r="B64" t="s">
        <v>331</v>
      </c>
      <c r="C64" s="21">
        <f>(Project!C8*C63)/(C32+C63)</f>
        <v>3.0952380952380949</v>
      </c>
      <c r="D64" t="s">
        <v>5</v>
      </c>
      <c r="E64" t="s">
        <v>334</v>
      </c>
    </row>
    <row r="66" spans="1:5" ht="18" thickBot="1" x14ac:dyDescent="0.25">
      <c r="A66" s="2" t="s">
        <v>40</v>
      </c>
      <c r="B66" s="2"/>
      <c r="C66" s="2"/>
      <c r="D66" s="2"/>
      <c r="E66" s="2"/>
    </row>
    <row r="67" spans="1:5" ht="17" thickTop="1" thickBot="1" x14ac:dyDescent="0.25">
      <c r="A67" s="4" t="s">
        <v>161</v>
      </c>
      <c r="B67" s="4" t="s">
        <v>54</v>
      </c>
      <c r="C67" s="4" t="s">
        <v>188</v>
      </c>
      <c r="D67" s="4" t="s">
        <v>189</v>
      </c>
      <c r="E67" s="4" t="s">
        <v>211</v>
      </c>
    </row>
    <row r="68" spans="1:5" ht="12" x14ac:dyDescent="0.15">
      <c r="A68" t="s">
        <v>340</v>
      </c>
      <c r="B68" t="s">
        <v>343</v>
      </c>
      <c r="C68" s="13" t="s">
        <v>213</v>
      </c>
      <c r="D68" t="s">
        <v>190</v>
      </c>
      <c r="E68" t="s">
        <v>234</v>
      </c>
    </row>
    <row r="69" spans="1:5" ht="12" x14ac:dyDescent="0.15">
      <c r="A69" t="s">
        <v>263</v>
      </c>
      <c r="B69" t="s">
        <v>275</v>
      </c>
      <c r="C69" t="s">
        <v>1</v>
      </c>
      <c r="D69" t="s">
        <v>215</v>
      </c>
      <c r="E69" t="s">
        <v>265</v>
      </c>
    </row>
    <row r="70" spans="1:5" ht="24" x14ac:dyDescent="0.15">
      <c r="A70" t="s">
        <v>264</v>
      </c>
      <c r="B70" t="s">
        <v>276</v>
      </c>
      <c r="C70" t="s">
        <v>1</v>
      </c>
      <c r="D70" t="s">
        <v>215</v>
      </c>
      <c r="E70" t="s">
        <v>81</v>
      </c>
    </row>
    <row r="71" spans="1:5" ht="12" x14ac:dyDescent="0.15">
      <c r="A71" t="s">
        <v>262</v>
      </c>
      <c r="B71" t="s">
        <v>277</v>
      </c>
      <c r="C71" t="s">
        <v>1</v>
      </c>
      <c r="D71" t="s">
        <v>215</v>
      </c>
      <c r="E71" t="s">
        <v>76</v>
      </c>
    </row>
    <row r="72" spans="1:5" ht="12" x14ac:dyDescent="0.15">
      <c r="A72" t="s">
        <v>267</v>
      </c>
      <c r="B72" t="s">
        <v>300</v>
      </c>
      <c r="C72" s="13" t="s">
        <v>213</v>
      </c>
      <c r="D72" t="s">
        <v>190</v>
      </c>
      <c r="E72" t="s">
        <v>234</v>
      </c>
    </row>
    <row r="73" spans="1:5" ht="12" x14ac:dyDescent="0.15">
      <c r="A73" t="s">
        <v>268</v>
      </c>
      <c r="B73" t="s">
        <v>337</v>
      </c>
      <c r="C73" s="13" t="s">
        <v>213</v>
      </c>
      <c r="D73" t="s">
        <v>190</v>
      </c>
      <c r="E73" t="s">
        <v>234</v>
      </c>
    </row>
    <row r="74" spans="1:5" ht="12" x14ac:dyDescent="0.15">
      <c r="A74" t="s">
        <v>269</v>
      </c>
      <c r="B74" s="22" t="s">
        <v>338</v>
      </c>
      <c r="C74" s="13" t="s">
        <v>213</v>
      </c>
      <c r="D74" t="s">
        <v>190</v>
      </c>
      <c r="E74" t="s">
        <v>234</v>
      </c>
    </row>
    <row r="75" spans="1:5" ht="12" x14ac:dyDescent="0.15">
      <c r="A75" t="s">
        <v>270</v>
      </c>
      <c r="B75" s="22" t="s">
        <v>339</v>
      </c>
      <c r="C75" s="13" t="s">
        <v>213</v>
      </c>
      <c r="D75" t="s">
        <v>190</v>
      </c>
      <c r="E75" t="s">
        <v>234</v>
      </c>
    </row>
    <row r="77" spans="1:5" ht="18" thickBot="1" x14ac:dyDescent="0.25">
      <c r="A77" s="2" t="s">
        <v>44</v>
      </c>
      <c r="B77" s="2"/>
      <c r="C77" s="2"/>
      <c r="D77" s="2"/>
      <c r="E77" s="2"/>
    </row>
    <row r="78" spans="1:5" ht="17" thickTop="1" thickBot="1" x14ac:dyDescent="0.25">
      <c r="A78" s="4" t="s">
        <v>200</v>
      </c>
      <c r="B78" s="4" t="s">
        <v>14</v>
      </c>
      <c r="C78" s="17"/>
      <c r="D78" s="4"/>
      <c r="E78" s="4"/>
    </row>
    <row r="79" spans="1:5" x14ac:dyDescent="0.15">
      <c r="A79">
        <v>1</v>
      </c>
    </row>
  </sheetData>
  <mergeCells count="4">
    <mergeCell ref="A4:E4"/>
    <mergeCell ref="A7:E7"/>
    <mergeCell ref="A9:E9"/>
    <mergeCell ref="A8:E8"/>
  </mergeCells>
  <pageMargins left="0.45" right="0.45" top="0.25" bottom="0.25" header="0" footer="0"/>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3958-5D20-7541-93F3-30E9F3216582}">
  <dimension ref="A1:E33"/>
  <sheetViews>
    <sheetView view="pageBreakPreview" zoomScaleNormal="100" zoomScaleSheetLayoutView="100" workbookViewId="0">
      <selection activeCell="A7" sqref="A7:E7"/>
    </sheetView>
  </sheetViews>
  <sheetFormatPr baseColWidth="10" defaultRowHeight="11" x14ac:dyDescent="0.15"/>
  <cols>
    <col min="1" max="1" width="11" customWidth="1"/>
    <col min="2" max="2" width="25.796875" customWidth="1"/>
    <col min="3" max="3" width="13" customWidth="1"/>
    <col min="4" max="4" width="8" customWidth="1"/>
    <col min="5" max="5" width="50.796875" customWidth="1"/>
  </cols>
  <sheetData>
    <row r="1" spans="1:5" ht="21" thickBot="1" x14ac:dyDescent="0.3">
      <c r="A1" s="1" t="s">
        <v>221</v>
      </c>
      <c r="B1" s="1"/>
      <c r="C1" s="1"/>
      <c r="D1" s="1"/>
      <c r="E1" s="1"/>
    </row>
    <row r="2" spans="1:5" ht="12" thickTop="1" x14ac:dyDescent="0.15"/>
    <row r="3" spans="1:5" ht="18" thickBot="1" x14ac:dyDescent="0.25">
      <c r="A3" s="2" t="s">
        <v>8</v>
      </c>
      <c r="B3" s="2"/>
      <c r="C3" s="2"/>
      <c r="D3" s="2"/>
      <c r="E3" s="2"/>
    </row>
    <row r="4" spans="1:5" ht="24" customHeight="1" thickTop="1" x14ac:dyDescent="0.15">
      <c r="A4" s="26" t="s">
        <v>223</v>
      </c>
      <c r="B4" s="26"/>
      <c r="C4" s="26"/>
      <c r="D4" s="26"/>
      <c r="E4" s="26"/>
    </row>
    <row r="6" spans="1:5" ht="18" thickBot="1" x14ac:dyDescent="0.25">
      <c r="A6" s="2" t="s">
        <v>36</v>
      </c>
      <c r="B6" s="2"/>
      <c r="C6" s="2"/>
      <c r="D6" s="2"/>
      <c r="E6" s="2"/>
    </row>
    <row r="7" spans="1:5" ht="12" customHeight="1" thickTop="1" x14ac:dyDescent="0.15">
      <c r="A7" s="26" t="s">
        <v>222</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200</v>
      </c>
      <c r="B10" s="4" t="s">
        <v>9</v>
      </c>
      <c r="C10" s="4" t="s">
        <v>10</v>
      </c>
      <c r="D10" s="4" t="s">
        <v>11</v>
      </c>
      <c r="E10" s="4" t="s">
        <v>14</v>
      </c>
    </row>
    <row r="11" spans="1:5" ht="12" x14ac:dyDescent="0.15">
      <c r="A11" t="s">
        <v>224</v>
      </c>
      <c r="B11" t="s">
        <v>69</v>
      </c>
      <c r="C11">
        <v>2.9</v>
      </c>
      <c r="D11" t="s">
        <v>5</v>
      </c>
    </row>
    <row r="12" spans="1:5" ht="12" x14ac:dyDescent="0.15">
      <c r="A12" t="s">
        <v>224</v>
      </c>
      <c r="B12" t="s">
        <v>70</v>
      </c>
      <c r="C12">
        <v>2.5000000000000001E-2</v>
      </c>
      <c r="D12" t="s">
        <v>7</v>
      </c>
    </row>
    <row r="13" spans="1:5" ht="12" x14ac:dyDescent="0.15">
      <c r="A13" t="s">
        <v>225</v>
      </c>
      <c r="B13" t="s">
        <v>226</v>
      </c>
      <c r="C13">
        <v>390</v>
      </c>
      <c r="D13" t="s">
        <v>6</v>
      </c>
    </row>
    <row r="14" spans="1:5" x14ac:dyDescent="0.15">
      <c r="B14" s="8"/>
      <c r="C14" s="8"/>
      <c r="D14" s="8"/>
    </row>
    <row r="15" spans="1:5" ht="18" thickBot="1" x14ac:dyDescent="0.25">
      <c r="A15" s="2" t="s">
        <v>18</v>
      </c>
      <c r="B15" s="2"/>
      <c r="C15" s="2"/>
      <c r="D15" s="2"/>
      <c r="E15" s="2"/>
    </row>
    <row r="16" spans="1:5" ht="17" thickTop="1" thickBot="1" x14ac:dyDescent="0.25">
      <c r="A16" s="4" t="s">
        <v>200</v>
      </c>
      <c r="B16" s="4" t="s">
        <v>31</v>
      </c>
      <c r="C16" s="4" t="s">
        <v>32</v>
      </c>
      <c r="D16" s="4"/>
      <c r="E16" s="4" t="s">
        <v>8</v>
      </c>
    </row>
    <row r="17" spans="1:5" ht="12" x14ac:dyDescent="0.15">
      <c r="A17">
        <v>1</v>
      </c>
      <c r="B17" t="s">
        <v>74</v>
      </c>
      <c r="C17" t="b">
        <f>C24&lt;C12</f>
        <v>1</v>
      </c>
      <c r="E17" t="s">
        <v>91</v>
      </c>
    </row>
    <row r="18" spans="1:5" ht="12" x14ac:dyDescent="0.15">
      <c r="A18">
        <v>2</v>
      </c>
      <c r="B18" t="s">
        <v>156</v>
      </c>
      <c r="C18" t="b">
        <f>C24&gt;=0.001</f>
        <v>1</v>
      </c>
      <c r="E18" t="s">
        <v>155</v>
      </c>
    </row>
    <row r="20" spans="1:5" ht="18" thickBot="1" x14ac:dyDescent="0.25">
      <c r="A20" s="2" t="s">
        <v>13</v>
      </c>
      <c r="B20" s="2"/>
      <c r="C20" s="2"/>
      <c r="D20" s="2"/>
      <c r="E20" s="2"/>
    </row>
    <row r="21" spans="1:5" ht="17" thickTop="1" thickBot="1" x14ac:dyDescent="0.25">
      <c r="A21" s="4" t="s">
        <v>200</v>
      </c>
      <c r="B21" s="4" t="s">
        <v>41</v>
      </c>
      <c r="C21" s="4" t="s">
        <v>37</v>
      </c>
      <c r="D21" s="4" t="s">
        <v>11</v>
      </c>
      <c r="E21" s="4" t="s">
        <v>8</v>
      </c>
    </row>
    <row r="22" spans="1:5" ht="12" x14ac:dyDescent="0.15">
      <c r="A22">
        <v>1</v>
      </c>
      <c r="B22" t="s">
        <v>87</v>
      </c>
      <c r="C22">
        <f>(Project!C11-C11)/C12</f>
        <v>15.999999999999996</v>
      </c>
      <c r="D22" t="s">
        <v>6</v>
      </c>
      <c r="E22" t="s">
        <v>89</v>
      </c>
    </row>
    <row r="23" spans="1:5" ht="12" x14ac:dyDescent="0.15">
      <c r="A23">
        <f>A22+1</f>
        <v>2</v>
      </c>
      <c r="B23" t="s">
        <v>88</v>
      </c>
      <c r="C23">
        <f>(Project!C11-C11)/0.001</f>
        <v>399.99999999999989</v>
      </c>
      <c r="D23" t="s">
        <v>6</v>
      </c>
      <c r="E23" t="s">
        <v>90</v>
      </c>
    </row>
    <row r="24" spans="1:5" ht="12" x14ac:dyDescent="0.15">
      <c r="A24">
        <f>A23+1</f>
        <v>3</v>
      </c>
      <c r="B24" t="s">
        <v>4</v>
      </c>
      <c r="C24" s="12">
        <f>(Project!C11-C11)/C13</f>
        <v>1.0256410256410254E-3</v>
      </c>
      <c r="D24" t="s">
        <v>7</v>
      </c>
      <c r="E24" t="s">
        <v>71</v>
      </c>
    </row>
    <row r="25" spans="1:5" ht="12" x14ac:dyDescent="0.15">
      <c r="A25">
        <f>A24+1</f>
        <v>4</v>
      </c>
      <c r="B25" t="s">
        <v>72</v>
      </c>
      <c r="C25">
        <f>Project!C11*C24</f>
        <v>3.3846153846153839E-3</v>
      </c>
      <c r="D25" t="s">
        <v>62</v>
      </c>
      <c r="E25" t="s">
        <v>73</v>
      </c>
    </row>
    <row r="27" spans="1:5" ht="18" thickBot="1" x14ac:dyDescent="0.25">
      <c r="A27" s="2" t="s">
        <v>40</v>
      </c>
      <c r="B27" s="2"/>
      <c r="C27" s="2"/>
      <c r="D27" s="2"/>
      <c r="E27" s="2"/>
    </row>
    <row r="28" spans="1:5" ht="17" thickTop="1" thickBot="1" x14ac:dyDescent="0.25">
      <c r="A28" s="4" t="s">
        <v>161</v>
      </c>
      <c r="B28" s="4" t="s">
        <v>54</v>
      </c>
      <c r="C28" s="4" t="s">
        <v>188</v>
      </c>
      <c r="D28" s="4" t="s">
        <v>189</v>
      </c>
      <c r="E28" s="4" t="s">
        <v>211</v>
      </c>
    </row>
    <row r="29" spans="1:5" ht="12" x14ac:dyDescent="0.15">
      <c r="A29" t="s">
        <v>225</v>
      </c>
      <c r="B29" t="s">
        <v>216</v>
      </c>
      <c r="C29" s="13" t="s">
        <v>213</v>
      </c>
      <c r="D29" t="s">
        <v>190</v>
      </c>
      <c r="E29" t="s">
        <v>234</v>
      </c>
    </row>
    <row r="31" spans="1:5" ht="18" thickBot="1" x14ac:dyDescent="0.25">
      <c r="A31" s="2" t="s">
        <v>44</v>
      </c>
      <c r="B31" s="2"/>
      <c r="C31" s="2"/>
      <c r="D31" s="2"/>
      <c r="E31" s="2"/>
    </row>
    <row r="32" spans="1:5" ht="19" thickTop="1" thickBot="1" x14ac:dyDescent="0.25">
      <c r="A32" s="4" t="s">
        <v>200</v>
      </c>
      <c r="B32" s="2" t="s">
        <v>14</v>
      </c>
      <c r="C32" s="2"/>
      <c r="D32" s="2"/>
      <c r="E32" s="2"/>
    </row>
    <row r="33" spans="1:1" x14ac:dyDescent="0.15">
      <c r="A33">
        <v>1</v>
      </c>
    </row>
  </sheetData>
  <mergeCells count="2">
    <mergeCell ref="A4:E4"/>
    <mergeCell ref="A7:E7"/>
  </mergeCells>
  <pageMargins left="0.45" right="0.45" top="0.25" bottom="0.25" header="0" footer="0"/>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E15B-75F4-E24A-B8FB-8C553145EEA9}">
  <dimension ref="A1:E38"/>
  <sheetViews>
    <sheetView view="pageBreakPreview" zoomScaleNormal="100" zoomScaleSheetLayoutView="100" workbookViewId="0">
      <selection activeCell="C18" sqref="C18"/>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227</v>
      </c>
      <c r="B1" s="1"/>
      <c r="C1" s="1"/>
      <c r="D1" s="1"/>
      <c r="E1" s="1"/>
    </row>
    <row r="2" spans="1:5" ht="12" thickTop="1" x14ac:dyDescent="0.15"/>
    <row r="3" spans="1:5" ht="18" thickBot="1" x14ac:dyDescent="0.25">
      <c r="A3" s="2" t="s">
        <v>8</v>
      </c>
      <c r="B3" s="2"/>
      <c r="C3" s="2"/>
      <c r="D3" s="2"/>
      <c r="E3" s="2"/>
    </row>
    <row r="4" spans="1:5" ht="48" customHeight="1" thickTop="1" x14ac:dyDescent="0.15">
      <c r="A4" s="24" t="s">
        <v>12</v>
      </c>
      <c r="B4" s="24"/>
      <c r="C4" s="24"/>
      <c r="D4" s="24"/>
      <c r="E4" s="24"/>
    </row>
    <row r="6" spans="1:5" ht="18" thickBot="1" x14ac:dyDescent="0.25">
      <c r="A6" s="2" t="s">
        <v>36</v>
      </c>
      <c r="B6" s="2"/>
      <c r="C6" s="2"/>
      <c r="D6" s="2"/>
      <c r="E6" s="2"/>
    </row>
    <row r="7" spans="1:5" ht="24" customHeight="1" thickTop="1" x14ac:dyDescent="0.15">
      <c r="A7" s="24" t="s">
        <v>228</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200</v>
      </c>
      <c r="B10" s="4" t="s">
        <v>9</v>
      </c>
      <c r="C10" s="4" t="s">
        <v>10</v>
      </c>
      <c r="D10" s="4" t="s">
        <v>11</v>
      </c>
      <c r="E10" s="4" t="s">
        <v>14</v>
      </c>
    </row>
    <row r="11" spans="1:5" ht="12" x14ac:dyDescent="0.15">
      <c r="A11" t="s">
        <v>229</v>
      </c>
      <c r="B11" t="s">
        <v>2</v>
      </c>
      <c r="C11">
        <v>60</v>
      </c>
      <c r="D11" t="s">
        <v>5</v>
      </c>
    </row>
    <row r="12" spans="1:5" ht="12" x14ac:dyDescent="0.15">
      <c r="A12" t="s">
        <v>229</v>
      </c>
      <c r="B12" t="s">
        <v>16</v>
      </c>
      <c r="C12">
        <v>2.5</v>
      </c>
      <c r="D12" t="s">
        <v>5</v>
      </c>
    </row>
    <row r="13" spans="1:5" ht="12" x14ac:dyDescent="0.15">
      <c r="A13" t="s">
        <v>229</v>
      </c>
      <c r="B13" t="s">
        <v>3</v>
      </c>
      <c r="C13">
        <v>2.5</v>
      </c>
      <c r="D13" t="s">
        <v>6</v>
      </c>
      <c r="E13" t="s">
        <v>27</v>
      </c>
    </row>
    <row r="14" spans="1:5" ht="12" x14ac:dyDescent="0.15">
      <c r="A14" t="s">
        <v>229</v>
      </c>
      <c r="B14" t="s">
        <v>4</v>
      </c>
      <c r="C14">
        <v>0.115</v>
      </c>
      <c r="D14" t="s">
        <v>7</v>
      </c>
      <c r="E14" t="s">
        <v>26</v>
      </c>
    </row>
    <row r="15" spans="1:5" ht="12" customHeight="1" x14ac:dyDescent="0.15">
      <c r="A15" t="s">
        <v>229</v>
      </c>
      <c r="B15" t="s">
        <v>15</v>
      </c>
      <c r="C15">
        <v>4.9999999999999998E-8</v>
      </c>
      <c r="D15" t="s">
        <v>75</v>
      </c>
      <c r="E15" t="s">
        <v>27</v>
      </c>
    </row>
    <row r="16" spans="1:5" ht="12" x14ac:dyDescent="0.15">
      <c r="A16" t="s">
        <v>229</v>
      </c>
      <c r="B16" t="s">
        <v>17</v>
      </c>
      <c r="C16">
        <v>120</v>
      </c>
      <c r="D16" t="s">
        <v>6</v>
      </c>
      <c r="E16" t="s">
        <v>27</v>
      </c>
    </row>
    <row r="17" spans="1:5" ht="12" x14ac:dyDescent="0.15">
      <c r="A17" t="s">
        <v>230</v>
      </c>
      <c r="B17" t="s">
        <v>231</v>
      </c>
      <c r="C17">
        <v>390</v>
      </c>
      <c r="D17" t="s">
        <v>6</v>
      </c>
      <c r="E17" t="s">
        <v>233</v>
      </c>
    </row>
    <row r="18" spans="1:5" x14ac:dyDescent="0.15">
      <c r="B18" s="8"/>
      <c r="C18" s="8"/>
      <c r="D18" s="8"/>
    </row>
    <row r="19" spans="1:5" ht="18" thickBot="1" x14ac:dyDescent="0.25">
      <c r="A19" s="2" t="s">
        <v>18</v>
      </c>
      <c r="B19" s="2"/>
      <c r="C19" s="2"/>
      <c r="D19" s="2"/>
      <c r="E19" s="2"/>
    </row>
    <row r="20" spans="1:5" ht="17" thickTop="1" thickBot="1" x14ac:dyDescent="0.25">
      <c r="A20" s="4" t="s">
        <v>200</v>
      </c>
      <c r="B20" s="4" t="s">
        <v>31</v>
      </c>
      <c r="C20" s="4" t="s">
        <v>32</v>
      </c>
      <c r="D20" s="4"/>
      <c r="E20" s="4" t="s">
        <v>8</v>
      </c>
    </row>
    <row r="21" spans="1:5" ht="12" x14ac:dyDescent="0.15">
      <c r="A21">
        <v>1</v>
      </c>
      <c r="B21" t="s">
        <v>25</v>
      </c>
      <c r="C21" t="b">
        <f>C11&gt;Project!C8</f>
        <v>1</v>
      </c>
      <c r="E21" t="s">
        <v>33</v>
      </c>
    </row>
    <row r="22" spans="1:5" ht="12" x14ac:dyDescent="0.15">
      <c r="A22">
        <f>A21+1</f>
        <v>2</v>
      </c>
      <c r="B22" t="s">
        <v>30</v>
      </c>
      <c r="C22" t="b">
        <f>C12&lt;Project!C11</f>
        <v>1</v>
      </c>
      <c r="E22" t="s">
        <v>34</v>
      </c>
    </row>
    <row r="23" spans="1:5" ht="12" x14ac:dyDescent="0.15">
      <c r="A23">
        <f>A22+1</f>
        <v>3</v>
      </c>
      <c r="B23" t="s">
        <v>29</v>
      </c>
      <c r="C23" t="b">
        <f>C14&gt;Project!C12</f>
        <v>1</v>
      </c>
      <c r="E23" t="s">
        <v>35</v>
      </c>
    </row>
    <row r="24" spans="1:5" ht="12" x14ac:dyDescent="0.15">
      <c r="A24">
        <f>A23+1</f>
        <v>4</v>
      </c>
      <c r="B24" t="s">
        <v>45</v>
      </c>
      <c r="C24" t="b">
        <f>C29&lt;Processor!C16</f>
        <v>1</v>
      </c>
      <c r="E24" t="s">
        <v>46</v>
      </c>
    </row>
    <row r="25" spans="1:5" ht="24" x14ac:dyDescent="0.15">
      <c r="A25">
        <f>A24+1</f>
        <v>5</v>
      </c>
      <c r="B25" t="s">
        <v>48</v>
      </c>
      <c r="C25" t="b">
        <f>C30&lt;Processor!C17</f>
        <v>1</v>
      </c>
      <c r="E25" t="s">
        <v>49</v>
      </c>
    </row>
    <row r="27" spans="1:5" ht="18" thickBot="1" x14ac:dyDescent="0.25">
      <c r="A27" s="2" t="s">
        <v>13</v>
      </c>
      <c r="B27" s="2"/>
      <c r="C27" s="2"/>
      <c r="D27" s="2"/>
      <c r="E27" s="2"/>
    </row>
    <row r="28" spans="1:5" ht="17" thickTop="1" thickBot="1" x14ac:dyDescent="0.25">
      <c r="A28" s="4" t="s">
        <v>200</v>
      </c>
      <c r="B28" s="4" t="s">
        <v>41</v>
      </c>
      <c r="C28" s="4" t="s">
        <v>37</v>
      </c>
      <c r="D28" s="4" t="s">
        <v>11</v>
      </c>
      <c r="E28" s="4" t="s">
        <v>8</v>
      </c>
    </row>
    <row r="29" spans="1:5" ht="12" x14ac:dyDescent="0.15">
      <c r="B29" t="s">
        <v>42</v>
      </c>
      <c r="C29" s="16">
        <f>Project!C11/C17</f>
        <v>8.4615384615384613E-3</v>
      </c>
      <c r="D29" t="s">
        <v>7</v>
      </c>
      <c r="E29" t="s">
        <v>43</v>
      </c>
    </row>
    <row r="30" spans="1:5" ht="17" customHeight="1" x14ac:dyDescent="0.15">
      <c r="B30" t="s">
        <v>47</v>
      </c>
      <c r="C30" s="16">
        <f>C29*6</f>
        <v>5.0769230769230768E-2</v>
      </c>
      <c r="D30" t="s">
        <v>7</v>
      </c>
      <c r="E30" t="s">
        <v>232</v>
      </c>
    </row>
    <row r="32" spans="1:5" ht="18" thickBot="1" x14ac:dyDescent="0.25">
      <c r="A32" s="2" t="s">
        <v>40</v>
      </c>
      <c r="B32" s="2"/>
      <c r="C32" s="2"/>
      <c r="D32" s="2"/>
      <c r="E32" s="2"/>
    </row>
    <row r="33" spans="1:5" ht="17" thickTop="1" thickBot="1" x14ac:dyDescent="0.25">
      <c r="A33" s="4" t="s">
        <v>161</v>
      </c>
      <c r="B33" s="4" t="s">
        <v>54</v>
      </c>
      <c r="C33" s="4" t="s">
        <v>188</v>
      </c>
      <c r="D33" s="4" t="s">
        <v>189</v>
      </c>
      <c r="E33" s="4" t="s">
        <v>211</v>
      </c>
    </row>
    <row r="34" spans="1:5" ht="12" x14ac:dyDescent="0.15">
      <c r="A34" t="s">
        <v>230</v>
      </c>
      <c r="B34" t="s">
        <v>216</v>
      </c>
      <c r="C34" s="13" t="s">
        <v>213</v>
      </c>
      <c r="D34" t="s">
        <v>190</v>
      </c>
      <c r="E34" t="s">
        <v>234</v>
      </c>
    </row>
    <row r="36" spans="1:5" ht="18" thickBot="1" x14ac:dyDescent="0.25">
      <c r="A36" s="2" t="s">
        <v>44</v>
      </c>
      <c r="B36" s="2"/>
      <c r="C36" s="2"/>
      <c r="D36" s="2"/>
      <c r="E36" s="2"/>
    </row>
    <row r="37" spans="1:5" ht="17" thickTop="1" thickBot="1" x14ac:dyDescent="0.25">
      <c r="A37" s="4" t="s">
        <v>200</v>
      </c>
      <c r="B37" s="17"/>
      <c r="C37" s="17"/>
      <c r="D37" s="17"/>
      <c r="E37" s="17"/>
    </row>
    <row r="38" spans="1:5" ht="24" customHeight="1" x14ac:dyDescent="0.15">
      <c r="A38">
        <v>1</v>
      </c>
      <c r="B38" s="28" t="s">
        <v>235</v>
      </c>
      <c r="C38" s="28"/>
      <c r="D38" s="28"/>
      <c r="E38" s="28"/>
    </row>
  </sheetData>
  <mergeCells count="3">
    <mergeCell ref="A4:E4"/>
    <mergeCell ref="A7:E7"/>
    <mergeCell ref="B38:E38"/>
  </mergeCells>
  <pageMargins left="0.45" right="0.45" top="0.25" bottom="0.25" header="0" footer="0"/>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3BBA-56E6-A849-90C8-B4D5DB8B21B1}">
  <dimension ref="A1:E57"/>
  <sheetViews>
    <sheetView view="pageBreakPreview" zoomScaleNormal="100" zoomScaleSheetLayoutView="100" workbookViewId="0">
      <selection activeCell="C22" sqref="C22"/>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227</v>
      </c>
      <c r="B1" s="1"/>
      <c r="C1" s="1"/>
      <c r="D1" s="1"/>
      <c r="E1" s="1"/>
    </row>
    <row r="2" spans="1:5" ht="12" thickTop="1" x14ac:dyDescent="0.15"/>
    <row r="3" spans="1:5" ht="18" thickBot="1" x14ac:dyDescent="0.25">
      <c r="A3" s="2" t="s">
        <v>8</v>
      </c>
      <c r="B3" s="2"/>
      <c r="C3" s="2"/>
      <c r="D3" s="2"/>
      <c r="E3" s="2"/>
    </row>
    <row r="4" spans="1:5" ht="12" customHeight="1" thickTop="1" x14ac:dyDescent="0.15">
      <c r="A4" s="26" t="s">
        <v>237</v>
      </c>
      <c r="B4" s="26"/>
      <c r="C4" s="26"/>
      <c r="D4" s="26"/>
      <c r="E4" s="26"/>
    </row>
    <row r="6" spans="1:5" ht="18" thickBot="1" x14ac:dyDescent="0.25">
      <c r="A6" s="2" t="s">
        <v>36</v>
      </c>
      <c r="B6" s="2"/>
      <c r="C6" s="2"/>
      <c r="D6" s="2"/>
      <c r="E6" s="2"/>
    </row>
    <row r="7" spans="1:5" ht="24" customHeight="1" thickTop="1" x14ac:dyDescent="0.15">
      <c r="A7" s="26" t="s">
        <v>243</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236</v>
      </c>
      <c r="B11" t="s">
        <v>102</v>
      </c>
      <c r="C11">
        <v>2.9</v>
      </c>
      <c r="D11" t="s">
        <v>5</v>
      </c>
    </row>
    <row r="12" spans="1:5" ht="12" x14ac:dyDescent="0.15">
      <c r="A12" t="s">
        <v>239</v>
      </c>
      <c r="B12" t="s">
        <v>103</v>
      </c>
      <c r="C12">
        <v>1.95</v>
      </c>
      <c r="D12" t="s">
        <v>5</v>
      </c>
    </row>
    <row r="13" spans="1:5" ht="12" x14ac:dyDescent="0.15">
      <c r="A13" t="s">
        <v>239</v>
      </c>
      <c r="B13" t="s">
        <v>104</v>
      </c>
      <c r="C13">
        <v>1.95</v>
      </c>
      <c r="D13" t="s">
        <v>5</v>
      </c>
    </row>
    <row r="14" spans="1:5" ht="12" x14ac:dyDescent="0.15">
      <c r="A14" t="s">
        <v>236</v>
      </c>
      <c r="B14" t="s">
        <v>70</v>
      </c>
      <c r="C14">
        <v>2.5000000000000001E-2</v>
      </c>
      <c r="D14" t="s">
        <v>7</v>
      </c>
    </row>
    <row r="15" spans="1:5" ht="12" x14ac:dyDescent="0.15">
      <c r="A15" t="s">
        <v>236</v>
      </c>
      <c r="B15" t="s">
        <v>72</v>
      </c>
      <c r="C15" s="16">
        <v>0.08</v>
      </c>
      <c r="D15" t="s">
        <v>62</v>
      </c>
    </row>
    <row r="16" spans="1:5" ht="12" x14ac:dyDescent="0.15">
      <c r="A16" t="s">
        <v>238</v>
      </c>
      <c r="B16" t="s">
        <v>240</v>
      </c>
      <c r="C16">
        <v>3000</v>
      </c>
      <c r="D16" t="s">
        <v>6</v>
      </c>
    </row>
    <row r="17" spans="1:5" ht="12" x14ac:dyDescent="0.15">
      <c r="A17" t="s">
        <v>239</v>
      </c>
      <c r="B17" t="s">
        <v>103</v>
      </c>
      <c r="C17">
        <v>1.95</v>
      </c>
      <c r="D17" t="s">
        <v>5</v>
      </c>
    </row>
    <row r="18" spans="1:5" ht="12" x14ac:dyDescent="0.15">
      <c r="A18" t="s">
        <v>239</v>
      </c>
      <c r="B18" t="s">
        <v>104</v>
      </c>
      <c r="C18">
        <v>1.95</v>
      </c>
      <c r="D18" t="s">
        <v>5</v>
      </c>
    </row>
    <row r="19" spans="1:5" ht="12" x14ac:dyDescent="0.15">
      <c r="A19" t="s">
        <v>239</v>
      </c>
      <c r="B19" t="s">
        <v>70</v>
      </c>
      <c r="C19">
        <v>2.5000000000000001E-2</v>
      </c>
      <c r="D19" t="s">
        <v>7</v>
      </c>
    </row>
    <row r="20" spans="1:5" ht="12" x14ac:dyDescent="0.15">
      <c r="A20" t="s">
        <v>239</v>
      </c>
      <c r="B20" t="s">
        <v>72</v>
      </c>
      <c r="C20">
        <v>5.5E-2</v>
      </c>
      <c r="D20" t="s">
        <v>62</v>
      </c>
    </row>
    <row r="21" spans="1:5" ht="12" x14ac:dyDescent="0.15">
      <c r="A21" t="s">
        <v>241</v>
      </c>
      <c r="B21" t="s">
        <v>242</v>
      </c>
      <c r="C21">
        <v>3000</v>
      </c>
      <c r="D21" t="s">
        <v>6</v>
      </c>
    </row>
    <row r="22" spans="1:5" x14ac:dyDescent="0.15">
      <c r="B22" s="8"/>
      <c r="C22" s="8"/>
      <c r="D22" s="8"/>
    </row>
    <row r="23" spans="1:5" ht="18" thickBot="1" x14ac:dyDescent="0.25">
      <c r="A23" s="2" t="s">
        <v>18</v>
      </c>
      <c r="B23" s="2"/>
      <c r="C23" s="2"/>
      <c r="D23" s="2"/>
      <c r="E23" s="2"/>
    </row>
    <row r="24" spans="1:5" ht="17" thickTop="1" thickBot="1" x14ac:dyDescent="0.25">
      <c r="A24" s="4" t="s">
        <v>200</v>
      </c>
      <c r="B24" s="4" t="s">
        <v>31</v>
      </c>
      <c r="C24" s="4" t="s">
        <v>32</v>
      </c>
      <c r="D24" s="4"/>
      <c r="E24" s="4" t="s">
        <v>8</v>
      </c>
    </row>
    <row r="25" spans="1:5" ht="12" customHeight="1" x14ac:dyDescent="0.15">
      <c r="A25">
        <v>1</v>
      </c>
      <c r="B25" t="s">
        <v>111</v>
      </c>
      <c r="C25" t="b">
        <f>C42&lt;C14</f>
        <v>1</v>
      </c>
      <c r="E25" t="s">
        <v>91</v>
      </c>
    </row>
    <row r="26" spans="1:5" ht="12" x14ac:dyDescent="0.15">
      <c r="A26">
        <f>A25+1</f>
        <v>2</v>
      </c>
      <c r="B26" t="s">
        <v>112</v>
      </c>
      <c r="C26" t="b">
        <f>C43&gt;0.001</f>
        <v>1</v>
      </c>
      <c r="E26" t="s">
        <v>100</v>
      </c>
    </row>
    <row r="27" spans="1:5" ht="12" x14ac:dyDescent="0.15">
      <c r="A27">
        <f t="shared" ref="A27:A32" si="0">A26+1</f>
        <v>3</v>
      </c>
      <c r="B27" t="s">
        <v>113</v>
      </c>
      <c r="C27" t="b">
        <f>C44&lt;C14</f>
        <v>1</v>
      </c>
      <c r="E27" t="s">
        <v>91</v>
      </c>
    </row>
    <row r="28" spans="1:5" ht="12" x14ac:dyDescent="0.15">
      <c r="A28">
        <f t="shared" si="0"/>
        <v>4</v>
      </c>
      <c r="B28" t="s">
        <v>114</v>
      </c>
      <c r="C28" t="b">
        <f>C45&gt;0.001</f>
        <v>1</v>
      </c>
      <c r="E28" t="s">
        <v>100</v>
      </c>
    </row>
    <row r="29" spans="1:5" ht="12" customHeight="1" x14ac:dyDescent="0.15">
      <c r="A29">
        <f t="shared" si="0"/>
        <v>5</v>
      </c>
      <c r="B29" t="s">
        <v>115</v>
      </c>
      <c r="C29" t="b">
        <f>C46&lt;C14</f>
        <v>1</v>
      </c>
      <c r="E29" t="s">
        <v>91</v>
      </c>
    </row>
    <row r="30" spans="1:5" ht="12" x14ac:dyDescent="0.15">
      <c r="A30">
        <f t="shared" si="0"/>
        <v>6</v>
      </c>
      <c r="B30" t="s">
        <v>116</v>
      </c>
      <c r="C30" t="b">
        <f>C47&gt;0.001</f>
        <v>1</v>
      </c>
      <c r="E30" t="s">
        <v>100</v>
      </c>
    </row>
    <row r="31" spans="1:5" ht="12" x14ac:dyDescent="0.15">
      <c r="A31">
        <f t="shared" si="0"/>
        <v>7</v>
      </c>
      <c r="B31" t="s">
        <v>248</v>
      </c>
      <c r="C31" t="b">
        <f>C48&lt;C15</f>
        <v>1</v>
      </c>
    </row>
    <row r="32" spans="1:5" ht="12" x14ac:dyDescent="0.15">
      <c r="A32">
        <f t="shared" si="0"/>
        <v>8</v>
      </c>
      <c r="B32" t="s">
        <v>249</v>
      </c>
      <c r="C32" t="b">
        <f>C49&lt;C20</f>
        <v>1</v>
      </c>
    </row>
    <row r="34" spans="1:5" ht="18" thickBot="1" x14ac:dyDescent="0.25">
      <c r="A34" s="2" t="s">
        <v>13</v>
      </c>
      <c r="B34" s="2"/>
      <c r="C34" s="2"/>
      <c r="D34" s="2"/>
      <c r="E34" s="2"/>
    </row>
    <row r="35" spans="1:5" ht="17" thickTop="1" thickBot="1" x14ac:dyDescent="0.25">
      <c r="A35" s="4" t="s">
        <v>200</v>
      </c>
      <c r="B35" s="4" t="s">
        <v>41</v>
      </c>
      <c r="C35" s="4" t="s">
        <v>37</v>
      </c>
      <c r="D35" s="4" t="s">
        <v>11</v>
      </c>
      <c r="E35" s="4" t="s">
        <v>8</v>
      </c>
    </row>
    <row r="36" spans="1:5" ht="12" x14ac:dyDescent="0.15">
      <c r="A36">
        <v>1</v>
      </c>
      <c r="B36" t="s">
        <v>105</v>
      </c>
      <c r="C36">
        <f>(Project!C8-C11)/C14</f>
        <v>1084</v>
      </c>
      <c r="D36" t="s">
        <v>6</v>
      </c>
      <c r="E36" t="s">
        <v>244</v>
      </c>
    </row>
    <row r="37" spans="1:5" ht="12" x14ac:dyDescent="0.15">
      <c r="A37">
        <f t="shared" ref="A37:A49" si="1">A36+1</f>
        <v>2</v>
      </c>
      <c r="B37" t="s">
        <v>107</v>
      </c>
      <c r="C37">
        <f>(Project!C8-C12)/C14</f>
        <v>1122</v>
      </c>
      <c r="D37" t="s">
        <v>6</v>
      </c>
      <c r="E37" t="s">
        <v>244</v>
      </c>
    </row>
    <row r="38" spans="1:5" ht="12" x14ac:dyDescent="0.15">
      <c r="A38">
        <f t="shared" si="1"/>
        <v>3</v>
      </c>
      <c r="B38" t="s">
        <v>109</v>
      </c>
      <c r="C38">
        <f>(Project!C8-C13)/C14</f>
        <v>1122</v>
      </c>
      <c r="D38" t="s">
        <v>6</v>
      </c>
      <c r="E38" t="s">
        <v>244</v>
      </c>
    </row>
    <row r="39" spans="1:5" ht="12" x14ac:dyDescent="0.15">
      <c r="A39">
        <f t="shared" si="1"/>
        <v>4</v>
      </c>
      <c r="B39" t="s">
        <v>106</v>
      </c>
      <c r="C39">
        <f>(Project!C9-C11)/0.001</f>
        <v>3100</v>
      </c>
      <c r="D39" t="s">
        <v>6</v>
      </c>
      <c r="E39" t="s">
        <v>245</v>
      </c>
    </row>
    <row r="40" spans="1:5" ht="12" x14ac:dyDescent="0.15">
      <c r="A40">
        <f t="shared" si="1"/>
        <v>5</v>
      </c>
      <c r="B40" t="s">
        <v>108</v>
      </c>
      <c r="C40">
        <f>(Project!C9-C12)/0.001</f>
        <v>4049.9999999999995</v>
      </c>
      <c r="D40" t="s">
        <v>6</v>
      </c>
      <c r="E40" t="s">
        <v>245</v>
      </c>
    </row>
    <row r="41" spans="1:5" ht="12" x14ac:dyDescent="0.15">
      <c r="A41">
        <f t="shared" si="1"/>
        <v>6</v>
      </c>
      <c r="B41" t="s">
        <v>110</v>
      </c>
      <c r="C41">
        <f>(Project!C9-C13)/0.001</f>
        <v>4049.9999999999995</v>
      </c>
      <c r="D41" t="s">
        <v>6</v>
      </c>
      <c r="E41" t="s">
        <v>245</v>
      </c>
    </row>
    <row r="42" spans="1:5" ht="12" x14ac:dyDescent="0.15">
      <c r="A42">
        <f t="shared" si="1"/>
        <v>7</v>
      </c>
      <c r="B42" t="s">
        <v>117</v>
      </c>
      <c r="C42" s="12">
        <f>(Project!C8-C11)/C16</f>
        <v>9.0333333333333342E-3</v>
      </c>
      <c r="D42" t="s">
        <v>7</v>
      </c>
      <c r="E42" t="s">
        <v>97</v>
      </c>
    </row>
    <row r="43" spans="1:5" ht="12" x14ac:dyDescent="0.15">
      <c r="A43">
        <f t="shared" si="1"/>
        <v>8</v>
      </c>
      <c r="B43" t="s">
        <v>118</v>
      </c>
      <c r="C43" s="12">
        <f>(Project!C9-C11)/C16</f>
        <v>1.0333333333333334E-3</v>
      </c>
      <c r="D43" t="s">
        <v>7</v>
      </c>
      <c r="E43" t="s">
        <v>98</v>
      </c>
    </row>
    <row r="44" spans="1:5" ht="12" x14ac:dyDescent="0.15">
      <c r="A44">
        <f t="shared" si="1"/>
        <v>9</v>
      </c>
      <c r="B44" t="s">
        <v>119</v>
      </c>
      <c r="C44" s="12">
        <f>(Project!C8-C12)/C21</f>
        <v>9.3500000000000007E-3</v>
      </c>
      <c r="D44" t="s">
        <v>7</v>
      </c>
      <c r="E44" t="s">
        <v>97</v>
      </c>
    </row>
    <row r="45" spans="1:5" ht="12" x14ac:dyDescent="0.15">
      <c r="A45">
        <f t="shared" si="1"/>
        <v>10</v>
      </c>
      <c r="B45" t="s">
        <v>120</v>
      </c>
      <c r="C45" s="12">
        <f>(Project!C9-C12)/C21</f>
        <v>1.3499999999999999E-3</v>
      </c>
      <c r="D45" t="s">
        <v>7</v>
      </c>
      <c r="E45" t="s">
        <v>98</v>
      </c>
    </row>
    <row r="46" spans="1:5" ht="12" x14ac:dyDescent="0.15">
      <c r="A46">
        <f t="shared" si="1"/>
        <v>11</v>
      </c>
      <c r="B46" t="s">
        <v>121</v>
      </c>
      <c r="C46" s="12">
        <f>(Project!C8-C13)/C21</f>
        <v>9.3500000000000007E-3</v>
      </c>
      <c r="D46" t="s">
        <v>7</v>
      </c>
      <c r="E46" t="s">
        <v>97</v>
      </c>
    </row>
    <row r="47" spans="1:5" ht="12" x14ac:dyDescent="0.15">
      <c r="A47">
        <f t="shared" si="1"/>
        <v>12</v>
      </c>
      <c r="B47" t="s">
        <v>122</v>
      </c>
      <c r="C47" s="12">
        <f>(Project!C9-C13)/C21</f>
        <v>1.3499999999999999E-3</v>
      </c>
      <c r="D47" t="s">
        <v>7</v>
      </c>
      <c r="E47" t="s">
        <v>98</v>
      </c>
    </row>
    <row r="48" spans="1:5" ht="12" x14ac:dyDescent="0.15">
      <c r="A48">
        <f t="shared" si="1"/>
        <v>13</v>
      </c>
      <c r="B48" t="s">
        <v>246</v>
      </c>
      <c r="C48" s="16">
        <f>C11*C42</f>
        <v>2.6196666666666667E-2</v>
      </c>
      <c r="D48" t="s">
        <v>62</v>
      </c>
      <c r="E48" t="s">
        <v>99</v>
      </c>
    </row>
    <row r="49" spans="1:5" ht="12" x14ac:dyDescent="0.15">
      <c r="A49">
        <f t="shared" si="1"/>
        <v>14</v>
      </c>
      <c r="B49" t="s">
        <v>247</v>
      </c>
      <c r="C49" s="16">
        <f>C44*C17</f>
        <v>1.8232500000000002E-2</v>
      </c>
      <c r="D49" t="s">
        <v>62</v>
      </c>
      <c r="E49" t="s">
        <v>99</v>
      </c>
    </row>
    <row r="51" spans="1:5" ht="18" thickBot="1" x14ac:dyDescent="0.25">
      <c r="A51" s="2" t="s">
        <v>40</v>
      </c>
      <c r="B51" s="2" t="s">
        <v>40</v>
      </c>
      <c r="C51" s="2"/>
      <c r="D51" s="2"/>
      <c r="E51" s="2"/>
    </row>
    <row r="52" spans="1:5" ht="17" thickTop="1" thickBot="1" x14ac:dyDescent="0.25">
      <c r="A52" s="4" t="s">
        <v>161</v>
      </c>
      <c r="B52" s="4" t="s">
        <v>54</v>
      </c>
      <c r="C52" s="4" t="s">
        <v>188</v>
      </c>
      <c r="D52" s="4" t="s">
        <v>189</v>
      </c>
      <c r="E52" s="4" t="s">
        <v>211</v>
      </c>
    </row>
    <row r="53" spans="1:5" ht="12" customHeight="1" x14ac:dyDescent="0.15">
      <c r="A53" t="s">
        <v>250</v>
      </c>
      <c r="B53" t="s">
        <v>251</v>
      </c>
      <c r="C53" s="13" t="s">
        <v>213</v>
      </c>
      <c r="D53" t="s">
        <v>190</v>
      </c>
      <c r="E53" t="s">
        <v>252</v>
      </c>
    </row>
    <row r="55" spans="1:5" ht="18" thickBot="1" x14ac:dyDescent="0.25">
      <c r="A55" s="2" t="s">
        <v>44</v>
      </c>
      <c r="B55" s="2"/>
      <c r="C55" s="2"/>
      <c r="D55" s="2"/>
      <c r="E55" s="2"/>
    </row>
    <row r="56" spans="1:5" ht="17" thickTop="1" thickBot="1" x14ac:dyDescent="0.25">
      <c r="A56" s="4" t="s">
        <v>200</v>
      </c>
      <c r="B56" s="17"/>
      <c r="C56" s="17"/>
      <c r="D56" s="17"/>
      <c r="E56" s="17"/>
    </row>
    <row r="57" spans="1:5" x14ac:dyDescent="0.15">
      <c r="A57">
        <v>1</v>
      </c>
    </row>
  </sheetData>
  <mergeCells count="2">
    <mergeCell ref="A4:E4"/>
    <mergeCell ref="A7:E7"/>
  </mergeCells>
  <pageMargins left="0.45" right="0.45" top="0.25" bottom="0.25" header="0" footer="0"/>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061F-2720-1C45-9213-88C4C1755886}">
  <dimension ref="A1:E16"/>
  <sheetViews>
    <sheetView view="pageBreakPreview" zoomScaleNormal="100" zoomScaleSheetLayoutView="100" workbookViewId="0">
      <selection activeCell="B10" sqref="B10"/>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308</v>
      </c>
      <c r="B1" s="1"/>
      <c r="C1" s="1"/>
      <c r="D1" s="1"/>
      <c r="E1" s="1"/>
    </row>
    <row r="2" spans="1:5" ht="12" thickTop="1" x14ac:dyDescent="0.15"/>
    <row r="3" spans="1:5" ht="18" thickBot="1" x14ac:dyDescent="0.25">
      <c r="A3" s="2" t="s">
        <v>8</v>
      </c>
      <c r="B3" s="2"/>
      <c r="C3" s="2"/>
      <c r="D3" s="2"/>
      <c r="E3" s="2"/>
    </row>
    <row r="4" spans="1:5" ht="24" customHeight="1" thickTop="1" x14ac:dyDescent="0.15">
      <c r="A4" s="26" t="s">
        <v>319</v>
      </c>
      <c r="B4" s="26"/>
      <c r="C4" s="26"/>
      <c r="D4" s="26"/>
      <c r="E4" s="26"/>
    </row>
    <row r="6" spans="1:5" ht="18" thickBot="1" x14ac:dyDescent="0.25">
      <c r="A6" s="2" t="s">
        <v>36</v>
      </c>
      <c r="B6" s="2"/>
      <c r="C6" s="2"/>
      <c r="D6" s="2"/>
      <c r="E6" s="2"/>
    </row>
    <row r="7" spans="1:5" ht="12" customHeight="1" thickTop="1" x14ac:dyDescent="0.15">
      <c r="A7" s="26" t="s">
        <v>309</v>
      </c>
      <c r="B7" s="26"/>
      <c r="C7" s="26"/>
      <c r="D7" s="26"/>
      <c r="E7" s="26"/>
    </row>
    <row r="8" spans="1:5" x14ac:dyDescent="0.15">
      <c r="B8" s="7"/>
      <c r="C8" s="7"/>
      <c r="D8" s="7"/>
      <c r="E8" s="7"/>
    </row>
    <row r="10" spans="1:5" ht="18" thickBot="1" x14ac:dyDescent="0.25">
      <c r="A10" s="2" t="s">
        <v>44</v>
      </c>
      <c r="B10" s="2"/>
      <c r="C10" s="2"/>
      <c r="D10" s="2"/>
      <c r="E10" s="2"/>
    </row>
    <row r="11" spans="1:5" ht="17" thickTop="1" thickBot="1" x14ac:dyDescent="0.25">
      <c r="A11" s="4" t="s">
        <v>200</v>
      </c>
      <c r="B11" s="17"/>
      <c r="C11" s="17"/>
      <c r="D11" s="17"/>
      <c r="E11" s="17"/>
    </row>
    <row r="12" spans="1:5" ht="12" customHeight="1" x14ac:dyDescent="0.15">
      <c r="A12" t="s">
        <v>310</v>
      </c>
      <c r="B12" s="26" t="s">
        <v>311</v>
      </c>
      <c r="C12" s="26"/>
      <c r="D12" s="26"/>
      <c r="E12" s="26"/>
    </row>
    <row r="13" spans="1:5" ht="12" x14ac:dyDescent="0.15">
      <c r="A13" t="s">
        <v>312</v>
      </c>
      <c r="B13" s="26" t="s">
        <v>311</v>
      </c>
      <c r="C13" s="26"/>
      <c r="D13" s="26"/>
      <c r="E13" s="26"/>
    </row>
    <row r="14" spans="1:5" ht="12" customHeight="1" x14ac:dyDescent="0.15">
      <c r="A14" t="s">
        <v>313</v>
      </c>
      <c r="B14" s="26" t="s">
        <v>314</v>
      </c>
      <c r="C14" s="26"/>
      <c r="D14" s="26"/>
      <c r="E14" s="26"/>
    </row>
    <row r="15" spans="1:5" ht="24" customHeight="1" x14ac:dyDescent="0.15">
      <c r="A15" t="s">
        <v>315</v>
      </c>
      <c r="B15" s="26" t="s">
        <v>316</v>
      </c>
      <c r="C15" s="26"/>
      <c r="D15" s="26"/>
      <c r="E15" s="26"/>
    </row>
    <row r="16" spans="1:5" ht="14" customHeight="1" x14ac:dyDescent="0.15">
      <c r="A16" t="s">
        <v>317</v>
      </c>
      <c r="B16" s="26" t="s">
        <v>318</v>
      </c>
      <c r="C16" s="26"/>
      <c r="D16" s="26"/>
      <c r="E16" s="26"/>
    </row>
  </sheetData>
  <mergeCells count="7">
    <mergeCell ref="B16:E16"/>
    <mergeCell ref="A4:E4"/>
    <mergeCell ref="A7:E7"/>
    <mergeCell ref="B12:E12"/>
    <mergeCell ref="B13:E13"/>
    <mergeCell ref="B14:E14"/>
    <mergeCell ref="B15:E15"/>
  </mergeCells>
  <pageMargins left="0.45" right="0.45" top="0.25" bottom="0.25" header="0" footer="0"/>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Power Supply</vt:lpstr>
      <vt:lpstr>Processor</vt:lpstr>
      <vt:lpstr>DCC Signal</vt:lpstr>
      <vt:lpstr>Motor Drive</vt:lpstr>
      <vt:lpstr>F0F-F0R</vt:lpstr>
      <vt:lpstr>Function Outputs</vt:lpstr>
      <vt:lpstr>Diag LEDs</vt:lpstr>
      <vt:lpstr>External</vt:lpstr>
      <vt:lpstr>Dummy 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Bicknell</dc:creator>
  <cp:lastModifiedBy>Leo Bicknell</cp:lastModifiedBy>
  <cp:lastPrinted>2023-09-24T14:49:34Z</cp:lastPrinted>
  <dcterms:created xsi:type="dcterms:W3CDTF">2023-09-17T17:44:47Z</dcterms:created>
  <dcterms:modified xsi:type="dcterms:W3CDTF">2023-10-02T12:28:10Z</dcterms:modified>
</cp:coreProperties>
</file>