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bicknell/Documents/DCC Reference Implementation/main/DCC-Mobile-Decoder/hardware/reference/Breadboard-1/"/>
    </mc:Choice>
  </mc:AlternateContent>
  <xr:revisionPtr revIDLastSave="0" documentId="13_ncr:1_{9C80E33C-5E72-3A41-9672-4B3BA3395B2B}" xr6:coauthVersionLast="47" xr6:coauthVersionMax="47" xr10:uidLastSave="{00000000-0000-0000-0000-000000000000}"/>
  <bookViews>
    <workbookView xWindow="10420" yWindow="6100" windowWidth="26680" windowHeight="20320" xr2:uid="{E2FDA5F7-4457-0342-8592-4B5131180552}"/>
  </bookViews>
  <sheets>
    <sheet name="Project" sheetId="1" r:id="rId1"/>
    <sheet name="1x Power Supply" sheetId="22" r:id="rId2"/>
    <sheet name="2x Processor" sheetId="3" r:id="rId3"/>
    <sheet name="3x DCC Signal" sheetId="17" r:id="rId4"/>
    <sheet name="4x Dummy Load" sheetId="16" r:id="rId5"/>
    <sheet name="5x Motor Drive" sheetId="11" r:id="rId6"/>
    <sheet name="6x F0F-F0R" sheetId="8" r:id="rId7"/>
    <sheet name="7x Function Outputs" sheetId="2" r:id="rId8"/>
    <sheet name="8x Diag LEDs" sheetId="14" r:id="rId9"/>
    <sheet name="9x External" sheetId="2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3" l="1"/>
  <c r="C30" i="17"/>
  <c r="C29" i="17"/>
  <c r="A55" i="11"/>
  <c r="A23" i="17"/>
  <c r="C23" i="17"/>
  <c r="A27" i="8"/>
  <c r="A19" i="8"/>
  <c r="A18" i="8"/>
  <c r="C68" i="11"/>
  <c r="C69" i="11" s="1"/>
  <c r="C67" i="11"/>
  <c r="C47" i="11" s="1"/>
  <c r="C65" i="11"/>
  <c r="C46" i="11" s="1"/>
  <c r="C60" i="11"/>
  <c r="C62" i="11" s="1"/>
  <c r="C42" i="11" s="1"/>
  <c r="C59" i="11"/>
  <c r="A60" i="11"/>
  <c r="A63" i="11" s="1"/>
  <c r="A64" i="11" s="1"/>
  <c r="A65" i="11" s="1"/>
  <c r="A66" i="11" s="1"/>
  <c r="A67" i="11" s="1"/>
  <c r="A68" i="11" s="1"/>
  <c r="A69" i="11" s="1"/>
  <c r="A70" i="11" s="1"/>
  <c r="C51" i="11"/>
  <c r="C41" i="11"/>
  <c r="A43" i="22"/>
  <c r="A44" i="22" s="1"/>
  <c r="C42" i="22"/>
  <c r="C43" i="22" s="1"/>
  <c r="C49" i="22" s="1"/>
  <c r="C37" i="22"/>
  <c r="C34" i="22"/>
  <c r="A32" i="22"/>
  <c r="A33" i="22" s="1"/>
  <c r="A34" i="22" s="1"/>
  <c r="A35" i="22" s="1"/>
  <c r="A36" i="22" s="1"/>
  <c r="A37" i="22" s="1"/>
  <c r="A38" i="22" s="1"/>
  <c r="C31" i="22"/>
  <c r="A30" i="17"/>
  <c r="A31" i="17" s="1"/>
  <c r="A42" i="17"/>
  <c r="C64" i="11"/>
  <c r="C53" i="11" s="1"/>
  <c r="C45" i="11"/>
  <c r="C44" i="11"/>
  <c r="C22" i="17"/>
  <c r="A24" i="17"/>
  <c r="A25" i="17" s="1"/>
  <c r="A42" i="11"/>
  <c r="A43" i="11" s="1"/>
  <c r="A44" i="11" s="1"/>
  <c r="C63" i="11"/>
  <c r="C52" i="11"/>
  <c r="C49" i="11"/>
  <c r="C28" i="16"/>
  <c r="A28" i="16"/>
  <c r="C25" i="16"/>
  <c r="C18" i="16" s="1"/>
  <c r="C24" i="16"/>
  <c r="C26" i="16" s="1"/>
  <c r="C20" i="16" s="1"/>
  <c r="A25" i="16"/>
  <c r="A26" i="16" s="1"/>
  <c r="A27" i="16" s="1"/>
  <c r="A19" i="16"/>
  <c r="A20" i="16" s="1"/>
  <c r="A37" i="14"/>
  <c r="A38" i="14" s="1"/>
  <c r="A39" i="14" s="1"/>
  <c r="A40" i="14" s="1"/>
  <c r="A41" i="14" s="1"/>
  <c r="A42" i="14" s="1"/>
  <c r="A43" i="14" s="1"/>
  <c r="A44" i="14" s="1"/>
  <c r="A45" i="14" s="1"/>
  <c r="A46" i="14" s="1"/>
  <c r="A47" i="14" s="1"/>
  <c r="A48" i="14" s="1"/>
  <c r="A49" i="14" s="1"/>
  <c r="A27" i="14"/>
  <c r="A28" i="14" s="1"/>
  <c r="A29" i="14" s="1"/>
  <c r="A30" i="14" s="1"/>
  <c r="A31" i="14" s="1"/>
  <c r="A32" i="14" s="1"/>
  <c r="A26" i="14"/>
  <c r="C47" i="14"/>
  <c r="C46" i="14"/>
  <c r="C45" i="14"/>
  <c r="C44" i="14"/>
  <c r="C49" i="14" s="1"/>
  <c r="C32" i="14" s="1"/>
  <c r="C43" i="14"/>
  <c r="C42" i="14"/>
  <c r="C38" i="14"/>
  <c r="C37" i="14"/>
  <c r="C36" i="14"/>
  <c r="C28" i="2"/>
  <c r="C29" i="2" s="1"/>
  <c r="C24" i="2" s="1"/>
  <c r="C25" i="8"/>
  <c r="C27" i="8" s="1"/>
  <c r="C19" i="8" s="1"/>
  <c r="A21" i="2"/>
  <c r="A22" i="2" s="1"/>
  <c r="A23" i="2" s="1"/>
  <c r="A24" i="2" s="1"/>
  <c r="C23" i="8"/>
  <c r="A24" i="8"/>
  <c r="A25" i="8" s="1"/>
  <c r="A26" i="8" s="1"/>
  <c r="C36" i="3"/>
  <c r="C37" i="3" s="1"/>
  <c r="C31" i="3" s="1"/>
  <c r="A29" i="3"/>
  <c r="A30" i="3" s="1"/>
  <c r="A31" i="3" s="1"/>
  <c r="A36" i="3"/>
  <c r="A37" i="3" s="1"/>
  <c r="C28" i="3"/>
  <c r="C29" i="3"/>
  <c r="C21" i="3"/>
  <c r="C22" i="3"/>
  <c r="C41" i="14"/>
  <c r="C40" i="14"/>
  <c r="C39" i="14"/>
  <c r="C24" i="8"/>
  <c r="C50" i="11"/>
  <c r="C21" i="2"/>
  <c r="C20" i="2"/>
  <c r="C22" i="2"/>
  <c r="C48" i="22" l="1"/>
  <c r="C70" i="11"/>
  <c r="C55" i="11" s="1"/>
  <c r="C66" i="11"/>
  <c r="C48" i="11" s="1"/>
  <c r="C31" i="17"/>
  <c r="C25" i="17" s="1"/>
  <c r="C61" i="11"/>
  <c r="C43" i="11" s="1"/>
  <c r="A45" i="11"/>
  <c r="A46" i="11" s="1"/>
  <c r="A47" i="11" s="1"/>
  <c r="A48" i="11" s="1"/>
  <c r="C36" i="22"/>
  <c r="C32" i="22"/>
  <c r="A46" i="22"/>
  <c r="A47" i="22" s="1"/>
  <c r="A48" i="22" s="1"/>
  <c r="A49" i="22" s="1"/>
  <c r="A45" i="22"/>
  <c r="C44" i="22"/>
  <c r="C23" i="2"/>
  <c r="C35" i="3"/>
  <c r="C54" i="11"/>
  <c r="A49" i="11"/>
  <c r="A50" i="11" s="1"/>
  <c r="C24" i="17"/>
  <c r="C48" i="14"/>
  <c r="C31" i="14" s="1"/>
  <c r="C26" i="8"/>
  <c r="C25" i="14"/>
  <c r="C18" i="8"/>
  <c r="C27" i="16"/>
  <c r="C19" i="16"/>
  <c r="C27" i="14"/>
  <c r="C29" i="14"/>
  <c r="C26" i="14"/>
  <c r="C30" i="14"/>
  <c r="C28" i="14"/>
  <c r="C17" i="8"/>
  <c r="A51" i="11" l="1"/>
  <c r="A52" i="11" s="1"/>
  <c r="A53" i="11" s="1"/>
  <c r="A54" i="11" s="1"/>
  <c r="C47" i="22"/>
  <c r="C38" i="22" s="1"/>
  <c r="C46" i="22"/>
  <c r="C45" i="22"/>
  <c r="C30" i="3"/>
  <c r="C33" i="22" l="1"/>
  <c r="C35" i="22"/>
</calcChain>
</file>

<file path=xl/sharedStrings.xml><?xml version="1.0" encoding="utf-8"?>
<sst xmlns="http://schemas.openxmlformats.org/spreadsheetml/2006/main" count="1003" uniqueCount="439">
  <si>
    <t>Properties</t>
  </si>
  <si>
    <t>SOT-23</t>
  </si>
  <si>
    <t>Vdss</t>
  </si>
  <si>
    <t>Rds(on)</t>
  </si>
  <si>
    <t>Id</t>
  </si>
  <si>
    <t>Volts</t>
  </si>
  <si>
    <t>Ω</t>
  </si>
  <si>
    <t>Amps</t>
  </si>
  <si>
    <t>Description</t>
  </si>
  <si>
    <t>Name</t>
  </si>
  <si>
    <t>Value</t>
  </si>
  <si>
    <t>Unit</t>
  </si>
  <si>
    <t>Calculations</t>
  </si>
  <si>
    <t>Comment</t>
  </si>
  <si>
    <t>Vgs(th, max)</t>
  </si>
  <si>
    <t>Rg</t>
  </si>
  <si>
    <t>Validations</t>
  </si>
  <si>
    <t>Project Requirements</t>
  </si>
  <si>
    <t>DCC V(max)</t>
  </si>
  <si>
    <t>DCC V(min)</t>
  </si>
  <si>
    <t>µC V</t>
  </si>
  <si>
    <t>Maximum function current supported.</t>
  </si>
  <si>
    <t>Operating voltage of the µC.</t>
  </si>
  <si>
    <t>Vdss &gt; DCC (max)</t>
  </si>
  <si>
    <t>Or greater.</t>
  </si>
  <si>
    <t>Typical.</t>
  </si>
  <si>
    <t>If</t>
  </si>
  <si>
    <t>Id &gt; If</t>
  </si>
  <si>
    <t>Vgs &lt; µC V</t>
  </si>
  <si>
    <t>Check</t>
  </si>
  <si>
    <t>TRUE/FALSE</t>
  </si>
  <si>
    <t>D-&gt;S voltage higher than maximum DCC voltage.</t>
  </si>
  <si>
    <t>Gate threshold voltage below µC operating voltage.</t>
  </si>
  <si>
    <t>Maxium current higher than project specification.</t>
  </si>
  <si>
    <t>Circuit Usage</t>
  </si>
  <si>
    <t>Calaculation</t>
  </si>
  <si>
    <t>PIC18F16Q40</t>
  </si>
  <si>
    <t>Minimum value to stay within spec.</t>
  </si>
  <si>
    <t>Selections</t>
  </si>
  <si>
    <t>Parameter</t>
  </si>
  <si>
    <t>Max Gate I</t>
  </si>
  <si>
    <t>Max inrush, based on selected value.</t>
  </si>
  <si>
    <t>Notes</t>
  </si>
  <si>
    <t>Max Gate I &lt; Igpio (max)</t>
  </si>
  <si>
    <t>Gate resistor keeps current below µC max.</t>
  </si>
  <si>
    <t>Max Total I</t>
  </si>
  <si>
    <t>Max Total I &lt; Iall(max)</t>
  </si>
  <si>
    <t>Check that all functions together are below the µC total output current.</t>
  </si>
  <si>
    <t>Vout</t>
  </si>
  <si>
    <t>Vdd Imax</t>
  </si>
  <si>
    <t>47.1 Absolute Maximum Ratings</t>
  </si>
  <si>
    <t>Capacitor rated for higher than max voltage.</t>
  </si>
  <si>
    <t>Component</t>
  </si>
  <si>
    <t>47.3.1 Supply Voltage Param. No. D002</t>
  </si>
  <si>
    <t>Vih TTL Buffer</t>
  </si>
  <si>
    <t>47.3.4 I/O Ports Param. No. D320</t>
  </si>
  <si>
    <t>Vil TTL  Buffer</t>
  </si>
  <si>
    <t>47.3.4 I/O Ports Param. No. D300</t>
  </si>
  <si>
    <t>Max OverDrive</t>
  </si>
  <si>
    <t>Vdd is in range of the part.</t>
  </si>
  <si>
    <t>Watts</t>
  </si>
  <si>
    <t>Vdd(min) &lt; Vdd</t>
  </si>
  <si>
    <t>Vdd(max) &gt; Vdd</t>
  </si>
  <si>
    <t>Igpio(max)</t>
  </si>
  <si>
    <t>Iall(max)</t>
  </si>
  <si>
    <t>Vdd(min)</t>
  </si>
  <si>
    <t>Vdd(max)</t>
  </si>
  <si>
    <t>Vforward</t>
  </si>
  <si>
    <t>Imax</t>
  </si>
  <si>
    <t>Current through the LED</t>
  </si>
  <si>
    <t>Pd</t>
  </si>
  <si>
    <t>Power dissipated by LED</t>
  </si>
  <si>
    <t>Id &lt; Imax</t>
  </si>
  <si>
    <t>DMN6140</t>
  </si>
  <si>
    <t>Max</t>
  </si>
  <si>
    <t>Maximum current across decoder.</t>
  </si>
  <si>
    <t>DTC143ZCA</t>
  </si>
  <si>
    <t>Vcc</t>
  </si>
  <si>
    <t>Io(max)</t>
  </si>
  <si>
    <t>Vi(on)</t>
  </si>
  <si>
    <t>Ii(max)</t>
  </si>
  <si>
    <t>Check that we are in-range with the voltage divider.</t>
  </si>
  <si>
    <t>R(min)</t>
  </si>
  <si>
    <t>R(max)</t>
  </si>
  <si>
    <t>Resistor value for Imax current.</t>
  </si>
  <si>
    <t>Resistor value for 0.001A current.</t>
  </si>
  <si>
    <t>Current is within the LED limit.</t>
  </si>
  <si>
    <t>R21</t>
  </si>
  <si>
    <t>R31-R32</t>
  </si>
  <si>
    <t>Farads</t>
  </si>
  <si>
    <t>C21</t>
  </si>
  <si>
    <t>Current through LED @Vdcc(max).</t>
  </si>
  <si>
    <t>Current through LED @Vdcc(min).</t>
  </si>
  <si>
    <t>Power dissipated by LED @Vdcc(max).</t>
  </si>
  <si>
    <t>At least 1ma to light the LED properly.</t>
  </si>
  <si>
    <t>Dummy Load</t>
  </si>
  <si>
    <t>Vforward(white)</t>
  </si>
  <si>
    <t>Vforward(red)</t>
  </si>
  <si>
    <t>Vforward(green)</t>
  </si>
  <si>
    <t>R(white,min) @Vdcc(max)</t>
  </si>
  <si>
    <t>R(white,max) @Vdcc(min)</t>
  </si>
  <si>
    <t>R(red,min) @Vdcc(max)</t>
  </si>
  <si>
    <t>R(red,max) @Vdcc(min)</t>
  </si>
  <si>
    <t>R(greem,min) @Vdcc(max)</t>
  </si>
  <si>
    <t>R(green,max) @Vdcc(min)</t>
  </si>
  <si>
    <t>Id(white)@Vdcc(max) &lt; Imax</t>
  </si>
  <si>
    <t>Id(white)@Vdcc(min) &gt; 1ma</t>
  </si>
  <si>
    <t>Id(red)@Vdcc(max) &lt; Imax</t>
  </si>
  <si>
    <t>Id(red)@Vdcc(min) &gt; 1ma</t>
  </si>
  <si>
    <t>Id(green)@Vdcc(max) &lt; Imax</t>
  </si>
  <si>
    <t>Id(green)@Vdcc(min) &gt; 1ma</t>
  </si>
  <si>
    <t>Id(white) @Vdcc(max)</t>
  </si>
  <si>
    <t>Id(white) @Vdcc(min)</t>
  </si>
  <si>
    <t>Id(red) @Vdcc(max)</t>
  </si>
  <si>
    <t>Id(red) @Vdcc(min)</t>
  </si>
  <si>
    <t>Id(green) @Vdcc(max)</t>
  </si>
  <si>
    <t>Id(green) @Vdcc(min)</t>
  </si>
  <si>
    <t>C11</t>
  </si>
  <si>
    <t>Passive circuitry to provide a dummy load to the motor driver to enable DCC readback when no motor is connected for development purposes.</t>
  </si>
  <si>
    <t>Imin</t>
  </si>
  <si>
    <t>Ireadback</t>
  </si>
  <si>
    <t>NMRA Minimum Readback Pulse</t>
  </si>
  <si>
    <t>Current @Vdcc(min)</t>
  </si>
  <si>
    <t>Current @Vdcc(max)</t>
  </si>
  <si>
    <t>Current greater than the project requirement.</t>
  </si>
  <si>
    <t>Ireadback &gt;= Imin</t>
  </si>
  <si>
    <t>P(max)</t>
  </si>
  <si>
    <t>P(min)</t>
  </si>
  <si>
    <t>Ir(steady)</t>
  </si>
  <si>
    <t>Ir(pulse)</t>
  </si>
  <si>
    <t>Imax &lt; Ir(steady)</t>
  </si>
  <si>
    <t>Pr</t>
  </si>
  <si>
    <t>Maxium steady state current.</t>
  </si>
  <si>
    <t>Maximum pulsed current.</t>
  </si>
  <si>
    <t>Maximum power dissipation.</t>
  </si>
  <si>
    <t>P(max) &lt; Pr</t>
  </si>
  <si>
    <t>Power dissipation is within in the Resistor's tolerance.  See note #1.</t>
  </si>
  <si>
    <t>If every output simultaneously has maximum current.</t>
  </si>
  <si>
    <t>Iall(max) &gt; Potential Imax</t>
  </si>
  <si>
    <t>Current of all outputs simultanously is below chip maximum.</t>
  </si>
  <si>
    <t>Vdif</t>
  </si>
  <si>
    <t>Maximum voltage drop for diodes at 1A.</t>
  </si>
  <si>
    <t>Dropout Voltage of the Regulator.</t>
  </si>
  <si>
    <t>Maxium input voltage.</t>
  </si>
  <si>
    <t>Minimum input voltage.</t>
  </si>
  <si>
    <t>Output voltage (fixed).</t>
  </si>
  <si>
    <t>Maximum current output.</t>
  </si>
  <si>
    <t>Bdrop(max)</t>
  </si>
  <si>
    <t>Maximum voltage drop across the bridge.</t>
  </si>
  <si>
    <t>Current in &gt; 1ma to light.</t>
  </si>
  <si>
    <t>Id &gt;= 0.001</t>
  </si>
  <si>
    <t>Idd(max)</t>
  </si>
  <si>
    <t>47.3.2 Supply Current (max value in table)</t>
  </si>
  <si>
    <t>Iout(max)</t>
  </si>
  <si>
    <t>Seconds</t>
  </si>
  <si>
    <t>Ref</t>
  </si>
  <si>
    <t>U11</t>
  </si>
  <si>
    <t>No</t>
  </si>
  <si>
    <t>Vin(max)</t>
  </si>
  <si>
    <t>Iout(max) &gt; Vdd I(max)</t>
  </si>
  <si>
    <t>Vin(min)</t>
  </si>
  <si>
    <t>Vdrive(max)</t>
  </si>
  <si>
    <t>Vdrive(min)</t>
  </si>
  <si>
    <t>Vdrive maximum voltage.</t>
  </si>
  <si>
    <t>Vdrive minimum voltage.</t>
  </si>
  <si>
    <t>Maximum repeated reverse voltage.</t>
  </si>
  <si>
    <t>Vrev(max)</t>
  </si>
  <si>
    <t>Diodes rated to hadle reverse track voltage.</t>
  </si>
  <si>
    <t>Regulator input rated to work at Vdrive(min).</t>
  </si>
  <si>
    <t>Regulator input rated higher than Vdrive(max).</t>
  </si>
  <si>
    <t>At Vdrive(min) the regulator can supply the desired output voltage.</t>
  </si>
  <si>
    <t>Maximum voltage of capacitor.</t>
  </si>
  <si>
    <t>Capacitance.</t>
  </si>
  <si>
    <t>Capacitor rated for output voltage.</t>
  </si>
  <si>
    <t>Tdis(min)</t>
  </si>
  <si>
    <t>Tdis(typ)</t>
  </si>
  <si>
    <t>Check that the capacitor can hold up the signal for longer than the maximum expected drop out time.</t>
  </si>
  <si>
    <t>DCC dropout</t>
  </si>
  <si>
    <t>NMRA Maximum Track Voltage is 27v, the project should be designed with some headroom.</t>
  </si>
  <si>
    <t>NMRA Minimum Track Voltage is 7 volts, the project should be designed with some headroom.</t>
  </si>
  <si>
    <t>The maximum duration of the no-power time when the DCC signal switches polarity.</t>
  </si>
  <si>
    <t>Tdis(min) &gt; DCC dropout</t>
  </si>
  <si>
    <t>Size</t>
  </si>
  <si>
    <t>Sub</t>
  </si>
  <si>
    <t>Y</t>
  </si>
  <si>
    <t>SOD-323</t>
  </si>
  <si>
    <t>40V, 1A Schottky barrier rectifier diode</t>
  </si>
  <si>
    <t>C12</t>
  </si>
  <si>
    <t>C11_C</t>
  </si>
  <si>
    <t>C12_V</t>
  </si>
  <si>
    <t>C12_C</t>
  </si>
  <si>
    <t>10% discharge time for C11 @Vdrive(min) w/10ma draw.</t>
  </si>
  <si>
    <t>10% discharge time for C11 @Vdrive(min) at the PIC max current draw.</t>
  </si>
  <si>
    <t>PIC18-Q40 is a compact, high performance PIC18 product family for real-time control and sensor applications . The products are equipped with an 12-bit ADC with Computation, 8-bit DACs, 16-bit PWMs, Direct Memory Access, Configurable Logic Cells and multiple communication interfaces. The PIC18-Q40 offers 14- and 20-pin products in small footprint packages to support customers in a wide range of space constrained applications.</t>
  </si>
  <si>
    <t>Num</t>
  </si>
  <si>
    <t>U21</t>
  </si>
  <si>
    <t>Power Supply</t>
  </si>
  <si>
    <t>Processor</t>
  </si>
  <si>
    <t>C22</t>
  </si>
  <si>
    <t>MCLR hold up capacitor, value not critical.</t>
  </si>
  <si>
    <t>Farad</t>
  </si>
  <si>
    <t>U21 Section 4.2.1 recommended value.</t>
  </si>
  <si>
    <t>U21 Section 4.3 recommended value.</t>
  </si>
  <si>
    <t>C22_C</t>
  </si>
  <si>
    <t>R21_R</t>
  </si>
  <si>
    <t>MPN</t>
  </si>
  <si>
    <t>1N5819WS</t>
  </si>
  <si>
    <t>0805</t>
  </si>
  <si>
    <t>50V 100nF X7R 10%</t>
  </si>
  <si>
    <t>N</t>
  </si>
  <si>
    <t>SSOP-20</t>
  </si>
  <si>
    <t>PIC18F16Q40T-I/SS</t>
  </si>
  <si>
    <t>Power consumed by MCLR hold up.</t>
  </si>
  <si>
    <t>F0F-F0R</t>
  </si>
  <si>
    <t>Indicator F0F or F0R is on.</t>
  </si>
  <si>
    <t>Bright White, 25ma, Vf 2.9v generic SMD LED used for the headlight and taillight.  Described as a "constant brightness headlight" in the decoder industry as it is driven from the regulated voltage.</t>
  </si>
  <si>
    <t>D61-D62</t>
  </si>
  <si>
    <t>R61-R62</t>
  </si>
  <si>
    <t>R61_R</t>
  </si>
  <si>
    <t>Function Outputs</t>
  </si>
  <si>
    <t>External devices are connected in a common anode (postive) configuration, with each function having a low side MOSFET to turn it on and off.</t>
  </si>
  <si>
    <t>Q71-Q76</t>
  </si>
  <si>
    <t>R71-R76</t>
  </si>
  <si>
    <t>R71_R</t>
  </si>
  <si>
    <t>Max inrush, all 6 in unison.</t>
  </si>
  <si>
    <t>Generic Passive Part</t>
  </si>
  <si>
    <t>Most likely R71-R76 are not necessary.  The inrush is so short lived due to the small total gate charge that it is unlikely to damage the micro.  In space-constrained designs omitting these resistors may save board space.</t>
  </si>
  <si>
    <t>D81-D86</t>
  </si>
  <si>
    <t>Bright White, 25ma, Vf 2.9v generic SMD LED are connected to each function.</t>
  </si>
  <si>
    <t>R81-R86</t>
  </si>
  <si>
    <t>D87</t>
  </si>
  <si>
    <t>R81_R</t>
  </si>
  <si>
    <t>R87</t>
  </si>
  <si>
    <t>R87_R</t>
  </si>
  <si>
    <t xml:space="preserve"> These would be omitted on any real decoder and are present to assist in software development only.  These are connected to Vdrive, and thus need to be able to handle the full range of track voltages.</t>
  </si>
  <si>
    <t>Minimum resistor to stay under Imax @Vdcc(max)</t>
  </si>
  <si>
    <t>Maximum resistor to allow at least 1ma @Vdcc(min)</t>
  </si>
  <si>
    <t>Pd(white) @Vdcc(max)</t>
  </si>
  <si>
    <t>Pd(green,red) @Vdcc(max)</t>
  </si>
  <si>
    <t>Pd(white,max) &lt; Pd</t>
  </si>
  <si>
    <t>Pd(red-green,max) &lt; Pd</t>
  </si>
  <si>
    <t>R81-R87</t>
  </si>
  <si>
    <t>3K Ω 1% 1/8W</t>
  </si>
  <si>
    <t>Generic Passive</t>
  </si>
  <si>
    <t>R</t>
  </si>
  <si>
    <t>Power @Vdcc(max)</t>
  </si>
  <si>
    <t>Power @Vdcc(min)</t>
  </si>
  <si>
    <t>RC2512JK-7W100RL</t>
  </si>
  <si>
    <t>100Ω 2W 5% 2512</t>
  </si>
  <si>
    <t>Maximum track power where 100% throttle will stay within the resistor power limits.</t>
  </si>
  <si>
    <t>Max Supported Voltage</t>
  </si>
  <si>
    <t>1. It is not practical to source a resistor that can handle a 100% on duty cycle at maximum track voltage.  The goal of this part is to enable DCC readback, which is a series of 60ms pulses, maximum 8 (read back in Direct Mode).  Part is safe on Vdrive voltages up to 14.142, which translates to track voltages of 15.342 volts.  This should cover the typical N and Z voltage levels on most boosters.  The O/G levels with 100% throttle will overdrive the part and damage it.  The user must be cautioned.</t>
  </si>
  <si>
    <t>Q55-Q56</t>
  </si>
  <si>
    <t>Q51-Q52</t>
  </si>
  <si>
    <t>Q53-Q54</t>
  </si>
  <si>
    <t>Motor Drive</t>
  </si>
  <si>
    <t>R51-R52</t>
  </si>
  <si>
    <t>R53-R54</t>
  </si>
  <si>
    <t>R55-R56</t>
  </si>
  <si>
    <t>R51_R</t>
  </si>
  <si>
    <t>R53_R</t>
  </si>
  <si>
    <t>R55_R</t>
  </si>
  <si>
    <t>R57_R</t>
  </si>
  <si>
    <t>50V 100ma NPN - Pre Biased 4.7K/47K</t>
  </si>
  <si>
    <t>60V 1.6A N Channel</t>
  </si>
  <si>
    <t>Q55_Vdss &gt; DCC (max)</t>
  </si>
  <si>
    <t>Q55_Max Gate I &lt; Igpio (max)</t>
  </si>
  <si>
    <t>Q55_Id &gt; Imax</t>
  </si>
  <si>
    <t>Q55_Minimum Gate Resistor</t>
  </si>
  <si>
    <t>Q55_Igate(max)</t>
  </si>
  <si>
    <t>DCC Signal</t>
  </si>
  <si>
    <t>R31</t>
  </si>
  <si>
    <t>R32</t>
  </si>
  <si>
    <t>Q31</t>
  </si>
  <si>
    <t>Q31_Vdss &gt; µC V</t>
  </si>
  <si>
    <t>Vgs @DCC V(max)</t>
  </si>
  <si>
    <t>Vgs @DCC V(min)</t>
  </si>
  <si>
    <t>Q31_Vgs(th_max) &lt; Vgs @DCC V(min)</t>
  </si>
  <si>
    <t>Vgs(max)</t>
  </si>
  <si>
    <t>Maximum Drain-Source Voltage</t>
  </si>
  <si>
    <t>Maximum Gate-Source Voltage</t>
  </si>
  <si>
    <t>Maximum gate threshold voltage to turn on.</t>
  </si>
  <si>
    <t>The input pin on the µC MUST be set to input and MUST have the Weak Pull Up enabled.</t>
  </si>
  <si>
    <t>10K Ω 1% 1/8W</t>
  </si>
  <si>
    <t>External Connectivity</t>
  </si>
  <si>
    <t>Allows connecting to a bread board, an ICSP programmer, a TTL-to-USB serial adapter, and an oscilloscope.</t>
  </si>
  <si>
    <t>J1</t>
  </si>
  <si>
    <t>A 6 pin header designed to fit into a standard breadboard.</t>
  </si>
  <si>
    <t>J2</t>
  </si>
  <si>
    <t>J3</t>
  </si>
  <si>
    <t>An ISCP programming header with the typical pin layout for connecting a programing device like a PICKIT4.</t>
  </si>
  <si>
    <t>J4</t>
  </si>
  <si>
    <t>A 7 pin header that exposes the DCC signal along with the motor drives and BackEMF.  The expected usage is to connect an oscilloscope which is likely necessary for some motor control work.</t>
  </si>
  <si>
    <t>J5</t>
  </si>
  <si>
    <t>A 5 pin header with the typical pin layout of many TTL-to-USB adapters.  This allows a computer to send and receive RS-232 serial data from the uC.</t>
  </si>
  <si>
    <t>0.1" pin headers to connect to external devices.  Headers are supplied unpopulated so the user can populate only the ones needed for their application.</t>
  </si>
  <si>
    <t>R31_R</t>
  </si>
  <si>
    <t>R32_R</t>
  </si>
  <si>
    <t>When the driver transistor is on, gate is brought low to ground, check that Vdrive(min) from the power supply is enough to enable.</t>
  </si>
  <si>
    <t>Q51_Id &gt; Imax</t>
  </si>
  <si>
    <t>Q53_Vcc &gt; Vdcc(max)</t>
  </si>
  <si>
    <t>Q53_I(gate)</t>
  </si>
  <si>
    <t>Q53_I(gate) &lt; Igpio(max)</t>
  </si>
  <si>
    <t>Collector voltage rated higher than maximum DCC voltage.</t>
  </si>
  <si>
    <t>D-&gt;S voltage rated higher than maximum DCC voltage.</t>
  </si>
  <si>
    <t>Rated current is greater than the current drawn by the pullup resistor.</t>
  </si>
  <si>
    <t>Current drawn from the µC pin is within the µC rating.</t>
  </si>
  <si>
    <t>Vbackemf @DCC V(max)</t>
  </si>
  <si>
    <t>Vbackemf(max) &lt; µC V</t>
  </si>
  <si>
    <t>Rbackemf_bottom</t>
  </si>
  <si>
    <t>Maximum voltage created by the BackEMF resistor-dividers.</t>
  </si>
  <si>
    <t>Gate current into the BJT.</t>
  </si>
  <si>
    <t>Maximum voltage on the BackEMF measurement is within range of the ADC on the µC.</t>
  </si>
  <si>
    <t>C51-C52</t>
  </si>
  <si>
    <t>C51_C</t>
  </si>
  <si>
    <t>Motor decoupling capacitors.</t>
  </si>
  <si>
    <t>50V 10uF X5R 10%</t>
  </si>
  <si>
    <t>R21_P</t>
  </si>
  <si>
    <t>R21_I</t>
  </si>
  <si>
    <t>D21</t>
  </si>
  <si>
    <t>Approximate drop at 1ma load per the data sheet graph.</t>
  </si>
  <si>
    <t>Vdrop @1ma</t>
  </si>
  <si>
    <t>D11-D15</t>
  </si>
  <si>
    <t>Vdrop @10ma</t>
  </si>
  <si>
    <t>Vdrop @1A</t>
  </si>
  <si>
    <t>Approximate based on data sheet graph.</t>
  </si>
  <si>
    <t>Vreg_in(min)</t>
  </si>
  <si>
    <t>D11_Vrev(max) = DCC V(max)</t>
  </si>
  <si>
    <t>U11_Vin(max) &gt; Vdrive(max)</t>
  </si>
  <si>
    <t>U11_Vin(min) &lt;= Vreg_in(min)</t>
  </si>
  <si>
    <t>Vreg_in(min) - Vdif &gt;= µC V</t>
  </si>
  <si>
    <t>µC contolling the project.  R21 &amp; C21 form a hold up circuit for the MCLR pin, while D21 protects the rest of the circuit while programming.  During programming Vdd can be raised to 12-13v, and without the diode would backfeed components.  C22 is a decoupling capacitor as recommended by the data sheet.</t>
  </si>
  <si>
    <t>"Analog Mode" on a decoder is where the decoder also works on a DC track.  That is implemented entirely in software.  As we pick up the right rail for the DCC signal, if the DC power is applied to the right rail this signal will be high and represents "forward".  If the uC is powered up and the pin remains low, power must be on the left rail which represents "reverse".  Note that power might be provided by a PWM DC source, so the software should consider a pulsing signal as "forward".</t>
  </si>
  <si>
    <t>High Side Drive P-MOS</t>
  </si>
  <si>
    <t>High Side gate driver BJT.</t>
  </si>
  <si>
    <t>Low Side Drive N-MOS</t>
  </si>
  <si>
    <t>BEMF voltage divider resistors.</t>
  </si>
  <si>
    <t>Most software development can be done without having a motor connected.  However, when programming a board via DCC it is supposed to support "readback" where it pulses 60ma of load on the track to indicate acknowledgement.  So that the user does not have to connect a motor to develop when JP61 is closed a 100 Ohm resistor is put across the motor output.  This allows the board to generate the 60ma pulses, and for readback to function correctly.</t>
  </si>
  <si>
    <t>These are the input electrical requirements as determined by the project specifications.  They are used to validate the circuitry is within specifications.</t>
  </si>
  <si>
    <t>Regulator capabiltiies exceed potential max draw.</t>
  </si>
  <si>
    <t>Vreg_in voltage after passing through D15.</t>
  </si>
  <si>
    <t>SE8633X2-HF is designed for power-sensitive applications. It includes a precision and high voltage input stage, an ultra-low-power bias current branch, and results in a ultra-low-power and low-dropout linear regulator.</t>
  </si>
  <si>
    <t>C13</t>
  </si>
  <si>
    <t>C13_V</t>
  </si>
  <si>
    <t>C13_C</t>
  </si>
  <si>
    <t>C12_V &gt; Vdrive(max)</t>
  </si>
  <si>
    <t>C13_V &gt; U11_Vout</t>
  </si>
  <si>
    <t>Initial inrush current to the capacitor.</t>
  </si>
  <si>
    <t>Icontinuous</t>
  </si>
  <si>
    <t>Amp</t>
  </si>
  <si>
    <t>Isurge</t>
  </si>
  <si>
    <t>Maximum continuous currrent.</t>
  </si>
  <si>
    <t>Maximum surge current.</t>
  </si>
  <si>
    <t>Inrush Resistor Minimum</t>
  </si>
  <si>
    <t>R11</t>
  </si>
  <si>
    <t>R11_R</t>
  </si>
  <si>
    <t>Inrush limiting resistor value.</t>
  </si>
  <si>
    <t>Inrush with selected R11</t>
  </si>
  <si>
    <t>Minimum resistance needed to stay inside D11-D14's max surge rating @Vdrive(max).</t>
  </si>
  <si>
    <t>Regulator to supply power to the µC.  A LDO Linear Regulator is acceptable here because the draw by the µC is very small, &lt; 4ma in general.  The largest draw on the µC is the directly connected LEDs for the F0F/F0R functions.  Diode D15 prevents the motor (Vdrive) from draining capacitor C11 when there is an interruption in power on the track.  Provisions are made for a "super-capacitor" to improve performance when there is poor electrical connectivity to the track.  C11 may be user installed, up to 1 Farad (1000uF) using capacitors with pitch 2.5mm or 5mm up to a diameter of 10mm.</t>
  </si>
  <si>
    <t>Maximum user supplied "super capacitor" supported, DNP.</t>
  </si>
  <si>
    <t>Q51_Vdss &lt; -1 * Vdcc(max)</t>
  </si>
  <si>
    <t>When Q51 is driven low, is Vgs within spec.</t>
  </si>
  <si>
    <t>Q55_Vgs(th, max) &lt; µC V</t>
  </si>
  <si>
    <t>Vgs</t>
  </si>
  <si>
    <t>Q55_Vgs &gt; µC V</t>
  </si>
  <si>
    <t>Q51_Vdivider(max)</t>
  </si>
  <si>
    <t>Q51_Vdivider(min)</t>
  </si>
  <si>
    <t>Hold up &amp; voltage divider top.</t>
  </si>
  <si>
    <t>Voltage divider bottom.</t>
  </si>
  <si>
    <t>Voltage when Q53 is on formed by the R51/Rxx voltage divider.</t>
  </si>
  <si>
    <t>Idivider @DCC V(max)</t>
  </si>
  <si>
    <t>Q53_Io(max) &gt; Idivider @DCC V(max)</t>
  </si>
  <si>
    <t>When Q55 is driven high, is Vgs within spec.</t>
  </si>
  <si>
    <t>Pdivider</t>
  </si>
  <si>
    <t>Current flowing through the voltage divider resistor.</t>
  </si>
  <si>
    <t>Power dissipated by the voltage divider resistors.</t>
  </si>
  <si>
    <t>R57-R58</t>
  </si>
  <si>
    <t>R59</t>
  </si>
  <si>
    <t>R59_R</t>
  </si>
  <si>
    <t>Voltage difference applied to the gate @Vdcc(max).</t>
  </si>
  <si>
    <t>Voltage difference applied to the gate @Vdcc(min).</t>
  </si>
  <si>
    <t>Q51_Vgs(diff) @ Vdcc(max)</t>
  </si>
  <si>
    <t>Q51_Vgs(diff) @ Vdcc(min)</t>
  </si>
  <si>
    <t>Q51_Vgs &lt; -1 *Q51_Vgs(diff) @ Vdcc(max)</t>
  </si>
  <si>
    <t>Q51_Vgs(th,max) &gt; Q51_Vgs(diff) @ Vdcc(min)</t>
  </si>
  <si>
    <t>The H-Bridge switches the power to the motor to control direction and speed.  It uses P-Channel MOSFETs for the high side, and N-Channel MOSFETs for the low side.  On the low side the µC voltage is higher than Vgs, and so it can drive the N-Channel MOSFETs directly.</t>
  </si>
  <si>
    <t>BackEMF is measured via a voltage divider, but to make it bidirectional it uses 3 resistors.  One of R57-R58 will be high and one grounded depending on the polarity of the H-Bridge.  Along with R59 they form a voltage divider which is then input to an ADC pin.</t>
  </si>
  <si>
    <t>On the high side, the P-Channel is OFF when Q53/Q54 are off and the R51/R52 pullups keep the gate voltage the same as the source voltage (Vgs=0).  The P-Channel is on when the transitor is on which drops the gate voltage below the drain voltage.  The DCC voltage is also too high for the P-Channel Vgs so a voltage divider is built with R51+R53 and R52+R54.  A BJT Q53/Q54 with built in biasing resistors turn on when the uC pin is high, enabling the voltage divider to turn on the MOSFET.  Using a BJT with built in biasing resistors saves additional resistors on the board.</t>
  </si>
  <si>
    <t>C11_esr</t>
  </si>
  <si>
    <t>Approximate ESR of the user supplied capacitor.</t>
  </si>
  <si>
    <t>It is generally important to turn MOSFETs on and off as quickly as possible to avoid operating them in a high resistance partially on state.  Note that R51/R53 use 10k resistors which will grealy reduce the turn on and turn off speed of the high side P-Channel MOSFETs.  These high values are used to prevent a signficant current draw when Q53 is on connecting them to ground.  In this applicaiton it is acceptable for the P-Channel high side to switch slowly.  The software changes the P-Channel state only when direction is changed, and then leaves them fully on or fully off.  The PWM signal to modulate speed is applied only to the low side, N-Channel MOSFET which can fast switch.</t>
  </si>
  <si>
    <t>R41</t>
  </si>
  <si>
    <t>It is often suggested to use a pull-down resistor on the N-Channel MOSFETs on the low side.  The primary concerns seem to be misconfiguration of the uC pin as an input which would leave the gate floating, and increasing the speed of discharge from the MOSFET.  It is true that PIC GPIO pins intiially are in an input state, and the gate will be floating.  Pins are set as outputs as the third major item (after interrupts and PMD) in the MCC generated files, and counting suggests that setting the pins is about the 11th-14th instructions.  Thus any float should be extremely brief.  Further, the high side P-Channel MOSFETS are pulled high via resistor, making them off.  Thus even if one of the N-Channel MOSFETs were to briefly turn on, no current would flow (e.g. no shoot-through).  Because of these mitigating factors, pull downs have been omitted and the totem output of the PIC is relied on to keep the gate from floating.</t>
  </si>
  <si>
    <t>R21_P &lt; 1/16W</t>
  </si>
  <si>
    <t>Pdivider &lt; 1/16W</t>
  </si>
  <si>
    <t>Check that 1/16W resistors are within limits.</t>
  </si>
  <si>
    <t xml:space="preserve">The NMRA requires the decoder to handle a 7-27 volt input signal.  That DCC signal needs to be converted to 3.3V logic level for the µC.  The BSS138K NPN MOSFET is a widely copied "logic level" MOSFET designed to be turned on and off by a digital circuit.  Typically Vdss is 50V, Vgs(th,max) is 1.5v, and Id is at least 300ma.  It is not unusual to find work-a-likes with higher Vdss and/or higher Id.  The K suffix indicates that the part has an ESD protected gate.  Since these boards may be handled by end users going to locomotives this is important to reduce the chance of a MOSFET being damaged by static during handling.				</t>
  </si>
  <si>
    <t>R61_Pd</t>
  </si>
  <si>
    <t>R61_Pd &lt; 1/16W</t>
  </si>
  <si>
    <t>5 Ω 1% 1/8W</t>
  </si>
  <si>
    <t>3K Ω 1% 1/8W</t>
  </si>
  <si>
    <t>BSS133K</t>
  </si>
  <si>
    <t>The BSS138K NPN MOSFET is a widely copied "logic level" MOSFET designed to be turned on and off by a digital circuit.  Typically Vdss is 50V, Vgs(th,max) is 1.5v, and Id is at least 200ma.  It is not unusual to find work-a-likes with higher Vdss and/or higher Id.  The K suffix indicates that the part has an ESD protected gate.  Since these boards may be handled by end users going to locomotives this is important to reduce the chance of a MOSFET being damaged by static during handling.</t>
  </si>
  <si>
    <t>PMV250EPEA</t>
  </si>
  <si>
    <t xml:space="preserve">40V 1.5A P Channel </t>
  </si>
  <si>
    <t>The DTC143ZCA is a pre-biased (4.7K &amp; 47K) "digital transitor" which saves two resistors per transitor.</t>
  </si>
  <si>
    <t>Each side of the DCC signal is 1/2 the overall voltage.  The MOSFET gate is connected to the DCC input signal and pulled down to ground by a 10K resistor (R32).  The pulldown prevents the gate from floating which can damage the MOSFET, but is otherwise not needed in normal operation.  A gate resistor (R31) is also included to reduce ringing against the DCC signal.  The MOSFET expects the Drain to be pulled up which is accomplished by using the Weak Pull Up in the µC to avoid additional components.  Note that it does not matter which rail is used to feed this circuit, RAIL_L or RAIL_R can be picked to make trace routing more convenient.</t>
  </si>
  <si>
    <t>R_P @DCC V(max)</t>
  </si>
  <si>
    <t>Power flowing through the voltage divider resistors.</t>
  </si>
  <si>
    <t>R_P &lt; 1/16W</t>
  </si>
  <si>
    <t>Will fully turn on at min voltage.</t>
  </si>
  <si>
    <t>Can handle the voltage we're operating at.</t>
  </si>
  <si>
    <t>Gate max voltage is above project max voltage.</t>
  </si>
  <si>
    <t>Q31_Vgs(max) &gt; Vgs @DCC V(max)</t>
  </si>
  <si>
    <t>Effective bottom resistance of the BackEMF voltage divider.</t>
  </si>
  <si>
    <t>Pbackemf_divider</t>
  </si>
  <si>
    <t>Pbackemf_divider &lt; 1/16W</t>
  </si>
  <si>
    <t>For the high side of the circuit, the TOSHIBA SSM3J356R,LF is a 60V 2A P-Channel MOSFET with integrated ESD protection.  ESD protection is necessary as the decoders will be handled by people installing them in locomotives.</t>
  </si>
  <si>
    <t>For low side of the circuit the Nexperia PMV55ENEAR is a 60V, 3.1A N-Channel MOSFET with integrated ESD protection.</t>
  </si>
  <si>
    <t>Component Notes</t>
  </si>
  <si>
    <t>The DCC Signal and Function Outputs need a small signal N-Channel MOSFET.  
The schematic does not indicate ESD protection on the MOSFET, but it is advisable on any decoder that will see repeated handling like this development board.
Functionally any small signal MOSFET with a Vds &gt; 40V, Id &gt; 100ma, and a Vgs &lt; 3.5V are acceptable substututions, including the popular and widely copied 2N7000, 2N7002 and BSS138 parts.  Many of the clones have better specifications than the original versions.
The ElecSuper BSS138K was chosen as an enhanced BSS138 copy with added ESD protection and high availability and low price at the time this was written.</t>
  </si>
  <si>
    <t xml:space="preserve">The Motor Drive requires higher current N &amp; P-Channel MOSFETs to form the H-Bridge.
The schematic does not indicate ESD protection on the MOSFET, but it is advisable on any decoder that will see repeated handling like this development board.
While the DCC voltage only goes to 27V and the project only requires 1A continuous current, it is advisable to greately over-specify the MOSFETs capabilities so that they operate at a cooler temperature.  It is recommended to use parts with Vds &gt; 60V, Id &gt; 2A.  Vgs for the P-Channel is not critical due to the drive method.  Vgs for the N-Channel must be below the voltage of the MicroController.
The Toshiba SSM3J356R,LF was chosen for the P-Channel as it is one of very few P-Channel MOSFETs in this range to include ESD protection.  Popular options without ESD protection are the "2309" clones (NEC2309, SI2309, PJM2309, LP2309, etc) and they generally have Id ratings between 1.5A and 2.5A.
The Nexperia PMV55ENEA was chosen for the N-Channel as it includes ESD protection.  There are several other choices with ESD protection such as the Toshiba SSM3K2615R, or Vishay SQ2364.  Popular options without ESD protection are the "2310" clones (CJ2310, AP2310, SL2310, MDD2310, HXY2310AI, SL2310) and they generally have Id ratings between 2A and 3.5A. </t>
  </si>
  <si>
    <t>For all passive components 0805 (or equivilent) packages have been used.  All transistor and MOSFETs are SOT-23.  This is a balance of small size but also potential repairability as this is a development board and may be damaged in testing.  It should be possible to replace a component by hand without too much difficulty.</t>
  </si>
  <si>
    <t>When chosing resistors care has been taken to stay with popular E6/E12/E24 values whenever possible, and to design the circuit so 1/16W resistors are of sufficient power handling.  This is to support shrinking the circuit to 0201 components which are not generally available in 1/8W variants.  While the design allows for 1/16W resistors, the specification is for 1/8W in all cases as they are more readily available in 0805 packages and provide an additional margin of safety.</t>
  </si>
  <si>
    <t>3.3v Linear Regulator</t>
  </si>
  <si>
    <t>Maybe</t>
  </si>
  <si>
    <t>SE8633X2-HF</t>
  </si>
  <si>
    <t>The exact linear regulator in the Power Supply is not critical.  The SE8633X2-HF was chosen entirely based on availability and price.    To meet the specifications at the lowest voltages generally an LDO part is required.  Take care when swapping regulators to insure the pinout is the same, and the input and output capacitors are sufficient.</t>
  </si>
  <si>
    <t>The White LEDs in the F0F/F0R and Diag LEDs sections are not critical.  The chosen parts were avaialble and low cost at the time of this writing.  Any White LED with a Vforward of ~2.9v should work fine.  Note that in a real decoder the selection of the F0F and F0R are likely to be important.  These LEDs will need to have a color and brightness appropriate to the locomotive, and may need alternate mounting styles such as an edge mount LED or a T1.5 package mounted off the end of the board.</t>
  </si>
  <si>
    <t>10K Ω 1% 1/8W</t>
  </si>
  <si>
    <t>DCC V(min) after voltage divider R31/R32</t>
  </si>
  <si>
    <t>DCC V(max) after voltage divider R31/R32</t>
  </si>
  <si>
    <t>Popular E6/E12/E24 value selected to be in range.</t>
  </si>
  <si>
    <t>330 Ω 1% 1/8W</t>
  </si>
  <si>
    <t>22K Ω 1% 1/8W</t>
  </si>
  <si>
    <t>The preferred MicroController is the PIC18F16Q40T-I/SS.  This is a normal temperature part on cut tape.  It is also available as PIC18F16Q40-I/SS in tube packaging, and PIC18F16Q40-E/SS as an extended temperature part in tube packaging.  Any are acceptable.                               
The closest substution is a PIC18F16Q41, available in the same three variants.  This model is identical except for the addition of an OpAmp which is not used.  Code should run on this device without being recompiled.
There are many other PIC18F chips that could work.  The requirements are &gt;= 2 Timers, &gt;= 2 16-Bit PWM generators, &gt;= 1 CWG Waveform Generator, &gt;= 1 UART.  Additionally the timers and CWG must support mapping to the necessary pins, not all parts allow remaping to all pins.</t>
  </si>
  <si>
    <t>Due to the expected repeated programming the MCLR hold up includes a diode
to protect the circuit from repeated high programming voltages.</t>
  </si>
  <si>
    <t>The following pins are left in their default locations:
- PGD, PGC to ease programming connections.
- RX, TX, to ease serial connections.
- MCLR, Vdd, Gnd, cannot be moved.
All other connections were placed to make routing the PCB traces
simpler.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</si>
</sst>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0"/>
    <numFmt numFmtId="167" formatCode="0.0"/>
  </numFmts>
  <fonts count="8" x14ac:knownFonts="1">
    <font>
      <sz val="8"/>
      <color theme="1"/>
      <name val="Verdana"/>
      <family val="2"/>
    </font>
    <font>
      <b/>
      <sz val="15"/>
      <color theme="3"/>
      <name val="Calibri"/>
      <family val="2"/>
      <scheme val="minor"/>
    </font>
    <font>
      <b/>
      <sz val="13"/>
      <color theme="3"/>
      <name val="Calibri"/>
      <family val="2"/>
      <scheme val="minor"/>
    </font>
    <font>
      <b/>
      <sz val="11"/>
      <color theme="3"/>
      <name val="Calibri"/>
      <family val="2"/>
      <scheme val="minor"/>
    </font>
    <font>
      <sz val="12"/>
      <color rgb="FF202122"/>
      <name val="Calibri"/>
      <family val="2"/>
      <scheme val="minor"/>
    </font>
    <font>
      <sz val="8"/>
      <color rgb="FFFF0000"/>
      <name val="Verdana"/>
      <family val="2"/>
    </font>
    <font>
      <b/>
      <sz val="11"/>
      <color rgb="FF44546A"/>
      <name val="Calibri"/>
      <family val="2"/>
    </font>
    <font>
      <sz val="8"/>
      <color rgb="FF000000"/>
      <name val="Verdana"/>
      <family val="2"/>
    </font>
  </fonts>
  <fills count="2">
    <fill>
      <patternFill patternType="none"/>
    </fill>
    <fill>
      <patternFill patternType="gray125"/>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ck">
        <color theme="4" tint="0.499984740745262"/>
      </top>
      <bottom/>
      <diagonal/>
    </border>
    <border>
      <left/>
      <right/>
      <top style="medium">
        <color theme="4" tint="0.39997558519241921"/>
      </top>
      <bottom/>
      <diagonal/>
    </border>
    <border>
      <left/>
      <right/>
      <top/>
      <bottom style="medium">
        <color rgb="FF8EA9DB"/>
      </bottom>
      <diagonal/>
    </border>
  </borders>
  <cellStyleXfs count="5">
    <xf numFmtId="0" fontId="0" fillId="0" borderId="0">
      <alignment vertical="top"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5" fillId="0" borderId="0" applyNumberFormat="0" applyFill="0" applyBorder="0" applyAlignment="0" applyProtection="0"/>
  </cellStyleXfs>
  <cellXfs count="31">
    <xf numFmtId="0" fontId="0" fillId="0" borderId="0" xfId="0">
      <alignment vertical="top" wrapText="1"/>
    </xf>
    <xf numFmtId="0" fontId="1" fillId="0" borderId="1" xfId="1"/>
    <xf numFmtId="0" fontId="2" fillId="0" borderId="2" xfId="2"/>
    <xf numFmtId="0" fontId="4" fillId="0" borderId="0" xfId="0" applyFont="1">
      <alignment vertical="top" wrapText="1"/>
    </xf>
    <xf numFmtId="0" fontId="3" fillId="0" borderId="3" xfId="3"/>
    <xf numFmtId="0" fontId="0" fillId="0" borderId="0" xfId="0" applyAlignment="1">
      <alignment wrapText="1"/>
    </xf>
    <xf numFmtId="1" fontId="0" fillId="0" borderId="0" xfId="0" applyNumberFormat="1" applyAlignment="1">
      <alignment horizontal="left"/>
    </xf>
    <xf numFmtId="0" fontId="0" fillId="0" borderId="0" xfId="0" applyAlignment="1">
      <alignment horizontal="left" vertical="top" wrapText="1"/>
    </xf>
    <xf numFmtId="0" fontId="0" fillId="0" borderId="0" xfId="0" applyAlignment="1">
      <alignment vertical="top"/>
    </xf>
    <xf numFmtId="0" fontId="2" fillId="0" borderId="2" xfId="2" applyAlignment="1">
      <alignment vertical="top" wrapText="1"/>
    </xf>
    <xf numFmtId="0" fontId="5" fillId="0" borderId="0" xfId="4" applyAlignment="1">
      <alignment vertical="top" wrapText="1"/>
    </xf>
    <xf numFmtId="0" fontId="0" fillId="0" borderId="0" xfId="0" applyAlignment="1">
      <alignment horizontal="right" vertical="top"/>
    </xf>
    <xf numFmtId="165" fontId="0" fillId="0" borderId="0" xfId="0" applyNumberFormat="1">
      <alignment vertical="top" wrapText="1"/>
    </xf>
    <xf numFmtId="0" fontId="0" fillId="0" borderId="0" xfId="0" quotePrefix="1">
      <alignment vertical="top" wrapText="1"/>
    </xf>
    <xf numFmtId="165" fontId="0" fillId="0" borderId="0" xfId="0" applyNumberFormat="1" applyAlignment="1">
      <alignment horizontal="right" vertical="top"/>
    </xf>
    <xf numFmtId="166" fontId="0" fillId="0" borderId="0" xfId="0" applyNumberFormat="1">
      <alignment vertical="top" wrapText="1"/>
    </xf>
    <xf numFmtId="164" fontId="0" fillId="0" borderId="0" xfId="0" applyNumberFormat="1">
      <alignment vertical="top" wrapText="1"/>
    </xf>
    <xf numFmtId="0" fontId="3" fillId="0" borderId="3" xfId="3" applyAlignment="1">
      <alignment vertical="top" wrapText="1"/>
    </xf>
    <xf numFmtId="2" fontId="0" fillId="0" borderId="0" xfId="0" applyNumberFormat="1">
      <alignment vertical="top" wrapText="1"/>
    </xf>
    <xf numFmtId="0" fontId="6" fillId="0" borderId="6" xfId="0" applyFont="1" applyBorder="1" applyAlignment="1"/>
    <xf numFmtId="1" fontId="0" fillId="0" borderId="0" xfId="0" applyNumberFormat="1">
      <alignment vertical="top" wrapText="1"/>
    </xf>
    <xf numFmtId="167" fontId="0" fillId="0" borderId="0" xfId="0" applyNumberFormat="1">
      <alignment vertical="top" wrapText="1"/>
    </xf>
    <xf numFmtId="0" fontId="7" fillId="0" borderId="0" xfId="0" applyFont="1">
      <alignment vertical="top" wrapText="1"/>
    </xf>
    <xf numFmtId="1" fontId="0" fillId="0" borderId="0" xfId="0" applyNumberFormat="1" applyAlignment="1">
      <alignment horizontal="right" vertical="top"/>
    </xf>
    <xf numFmtId="0" fontId="0" fillId="0" borderId="0" xfId="0">
      <alignment vertical="top" wrapText="1"/>
    </xf>
    <xf numFmtId="0" fontId="0" fillId="0" borderId="4" xfId="0" applyBorder="1">
      <alignmen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5" fillId="0" borderId="5" xfId="4" applyBorder="1" applyAlignment="1">
      <alignment vertical="top" wrapText="1"/>
    </xf>
    <xf numFmtId="0" fontId="5" fillId="0" borderId="0" xfId="4" applyAlignment="1">
      <alignment vertical="top" wrapText="1"/>
    </xf>
    <xf numFmtId="0" fontId="0" fillId="0" borderId="5" xfId="0" applyBorder="1">
      <alignment vertical="top" wrapText="1"/>
    </xf>
  </cellXfs>
  <cellStyles count="5">
    <cellStyle name="Heading 1" xfId="1" builtinId="16"/>
    <cellStyle name="Heading 2" xfId="2" builtinId="17"/>
    <cellStyle name="Heading 3" xfId="3" builtinId="18"/>
    <cellStyle name="Normal" xfId="0" builtinId="0" customBuiltin="1"/>
    <cellStyle name="Warning Text" xfId="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Vdrop@1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8460-C63A-9942-B8D8-F92B208762A2}">
  <dimension ref="A1:E23"/>
  <sheetViews>
    <sheetView tabSelected="1" view="pageBreakPreview" zoomScaleNormal="100" zoomScaleSheetLayoutView="100" workbookViewId="0">
      <selection activeCell="B25" sqref="B25"/>
    </sheetView>
  </sheetViews>
  <sheetFormatPr baseColWidth="10" defaultRowHeight="11" x14ac:dyDescent="0.15"/>
  <cols>
    <col min="2" max="2" width="26" customWidth="1"/>
    <col min="4" max="4" width="8" customWidth="1"/>
    <col min="5" max="5" width="51.59765625" customWidth="1"/>
  </cols>
  <sheetData>
    <row r="1" spans="1:5" ht="21" thickBot="1" x14ac:dyDescent="0.3">
      <c r="A1" s="1" t="s">
        <v>17</v>
      </c>
      <c r="B1" s="1"/>
      <c r="C1" s="1"/>
      <c r="D1" s="1"/>
      <c r="E1" s="1"/>
    </row>
    <row r="2" spans="1:5" ht="12" thickTop="1" x14ac:dyDescent="0.15"/>
    <row r="3" spans="1:5" ht="18" thickBot="1" x14ac:dyDescent="0.25">
      <c r="A3" s="2" t="s">
        <v>8</v>
      </c>
      <c r="B3" s="2"/>
      <c r="C3" s="2"/>
      <c r="D3" s="2"/>
      <c r="E3" s="2"/>
    </row>
    <row r="4" spans="1:5" ht="24" customHeight="1" thickTop="1" x14ac:dyDescent="0.15">
      <c r="A4" s="25" t="s">
        <v>338</v>
      </c>
      <c r="B4" s="25"/>
      <c r="C4" s="25"/>
      <c r="D4" s="25"/>
      <c r="E4" s="25"/>
    </row>
    <row r="6" spans="1:5" ht="18" thickBot="1" x14ac:dyDescent="0.25">
      <c r="A6" s="2" t="s">
        <v>0</v>
      </c>
      <c r="B6" s="2"/>
      <c r="C6" s="2"/>
      <c r="D6" s="2"/>
      <c r="E6" s="2"/>
    </row>
    <row r="7" spans="1:5" ht="17" thickTop="1" thickBot="1" x14ac:dyDescent="0.25">
      <c r="A7" s="4" t="s">
        <v>155</v>
      </c>
      <c r="B7" s="4" t="s">
        <v>9</v>
      </c>
      <c r="C7" s="4" t="s">
        <v>10</v>
      </c>
      <c r="D7" s="4" t="s">
        <v>11</v>
      </c>
      <c r="E7" s="4" t="s">
        <v>13</v>
      </c>
    </row>
    <row r="8" spans="1:5" ht="24" x14ac:dyDescent="0.15">
      <c r="B8" t="s">
        <v>18</v>
      </c>
      <c r="C8">
        <v>30</v>
      </c>
      <c r="D8" t="s">
        <v>5</v>
      </c>
      <c r="E8" t="s">
        <v>178</v>
      </c>
    </row>
    <row r="9" spans="1:5" ht="24" x14ac:dyDescent="0.15">
      <c r="B9" t="s">
        <v>19</v>
      </c>
      <c r="C9">
        <v>6</v>
      </c>
      <c r="D9" t="s">
        <v>5</v>
      </c>
      <c r="E9" t="s">
        <v>179</v>
      </c>
    </row>
    <row r="10" spans="1:5" ht="24" x14ac:dyDescent="0.15">
      <c r="B10" t="s">
        <v>177</v>
      </c>
      <c r="C10">
        <v>4.0000000000000003E-5</v>
      </c>
      <c r="D10" t="s">
        <v>154</v>
      </c>
      <c r="E10" t="s">
        <v>180</v>
      </c>
    </row>
    <row r="11" spans="1:5" ht="12" x14ac:dyDescent="0.15">
      <c r="B11" t="s">
        <v>20</v>
      </c>
      <c r="C11">
        <v>3.3</v>
      </c>
      <c r="D11" t="s">
        <v>5</v>
      </c>
      <c r="E11" t="s">
        <v>22</v>
      </c>
    </row>
    <row r="12" spans="1:5" ht="12" x14ac:dyDescent="0.15">
      <c r="B12" t="s">
        <v>26</v>
      </c>
      <c r="C12">
        <v>0.1</v>
      </c>
      <c r="D12" t="s">
        <v>7</v>
      </c>
      <c r="E12" t="s">
        <v>21</v>
      </c>
    </row>
    <row r="13" spans="1:5" ht="12" x14ac:dyDescent="0.15">
      <c r="B13" t="s">
        <v>68</v>
      </c>
      <c r="C13">
        <v>1</v>
      </c>
      <c r="D13" t="s">
        <v>7</v>
      </c>
      <c r="E13" t="s">
        <v>75</v>
      </c>
    </row>
    <row r="14" spans="1:5" ht="12" x14ac:dyDescent="0.15">
      <c r="B14" t="s">
        <v>120</v>
      </c>
      <c r="C14">
        <v>0.06</v>
      </c>
      <c r="D14" t="s">
        <v>7</v>
      </c>
      <c r="E14" t="s">
        <v>121</v>
      </c>
    </row>
    <row r="15" spans="1:5" ht="16" x14ac:dyDescent="0.15">
      <c r="C15" s="6"/>
      <c r="D15" s="3"/>
    </row>
    <row r="16" spans="1:5" ht="18" thickBot="1" x14ac:dyDescent="0.25">
      <c r="A16" s="2" t="s">
        <v>420</v>
      </c>
      <c r="B16" s="2"/>
      <c r="C16" s="2"/>
      <c r="D16" s="2"/>
      <c r="E16" s="2"/>
    </row>
    <row r="17" spans="1:5" ht="120" customHeight="1" thickTop="1" x14ac:dyDescent="0.15">
      <c r="A17" s="25" t="s">
        <v>421</v>
      </c>
      <c r="B17" s="25"/>
      <c r="C17" s="25"/>
      <c r="D17" s="25"/>
      <c r="E17" s="25"/>
    </row>
    <row r="18" spans="1:5" ht="192" customHeight="1" x14ac:dyDescent="0.15">
      <c r="A18" s="24" t="s">
        <v>422</v>
      </c>
      <c r="B18" s="24"/>
      <c r="C18" s="24"/>
      <c r="D18" s="24"/>
      <c r="E18" s="24"/>
    </row>
    <row r="19" spans="1:5" ht="36" customHeight="1" x14ac:dyDescent="0.15">
      <c r="A19" s="26" t="s">
        <v>423</v>
      </c>
      <c r="B19" s="26"/>
      <c r="C19" s="26"/>
      <c r="D19" s="26"/>
      <c r="E19" s="26"/>
    </row>
    <row r="20" spans="1:5" ht="48" customHeight="1" x14ac:dyDescent="0.15">
      <c r="A20" s="24" t="s">
        <v>424</v>
      </c>
      <c r="B20" s="24"/>
      <c r="C20" s="24"/>
      <c r="D20" s="24"/>
      <c r="E20" s="24"/>
    </row>
    <row r="21" spans="1:5" ht="36" customHeight="1" x14ac:dyDescent="0.15">
      <c r="A21" s="24" t="s">
        <v>428</v>
      </c>
      <c r="B21" s="24"/>
      <c r="C21" s="24"/>
      <c r="D21" s="24"/>
      <c r="E21" s="24"/>
    </row>
    <row r="22" spans="1:5" ht="48" customHeight="1" x14ac:dyDescent="0.15">
      <c r="A22" s="24" t="s">
        <v>429</v>
      </c>
      <c r="B22" s="24"/>
      <c r="C22" s="24"/>
      <c r="D22" s="24"/>
      <c r="E22" s="24"/>
    </row>
    <row r="23" spans="1:5" ht="112" customHeight="1" x14ac:dyDescent="0.15">
      <c r="A23" s="24" t="s">
        <v>436</v>
      </c>
      <c r="B23" s="24"/>
      <c r="C23" s="24"/>
      <c r="D23" s="24"/>
      <c r="E23" s="24"/>
    </row>
  </sheetData>
  <mergeCells count="8">
    <mergeCell ref="A21:E21"/>
    <mergeCell ref="A22:E22"/>
    <mergeCell ref="A23:E23"/>
    <mergeCell ref="A4:E4"/>
    <mergeCell ref="A17:E17"/>
    <mergeCell ref="A18:E18"/>
    <mergeCell ref="A19:E19"/>
    <mergeCell ref="A20:E20"/>
  </mergeCells>
  <pageMargins left="0.45" right="0.45" top="0.25" bottom="0.25" header="0" footer="0"/>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061F-2720-1C45-9213-88C4C1755886}">
  <dimension ref="A1:E16"/>
  <sheetViews>
    <sheetView view="pageBreakPreview" zoomScaleNormal="100" zoomScaleSheetLayoutView="100" workbookViewId="0">
      <selection activeCell="B10" sqref="B10"/>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284</v>
      </c>
      <c r="B1" s="1"/>
      <c r="C1" s="1"/>
      <c r="D1" s="1"/>
      <c r="E1" s="1"/>
    </row>
    <row r="2" spans="1:5" ht="12" thickTop="1" x14ac:dyDescent="0.15"/>
    <row r="3" spans="1:5" ht="18" thickBot="1" x14ac:dyDescent="0.25">
      <c r="A3" s="2" t="s">
        <v>8</v>
      </c>
      <c r="B3" s="2"/>
      <c r="C3" s="2"/>
      <c r="D3" s="2"/>
      <c r="E3" s="2"/>
    </row>
    <row r="4" spans="1:5" ht="24" customHeight="1" thickTop="1" x14ac:dyDescent="0.15">
      <c r="A4" s="24" t="s">
        <v>295</v>
      </c>
      <c r="B4" s="24"/>
      <c r="C4" s="24"/>
      <c r="D4" s="24"/>
      <c r="E4" s="24"/>
    </row>
    <row r="6" spans="1:5" ht="18" thickBot="1" x14ac:dyDescent="0.25">
      <c r="A6" s="2" t="s">
        <v>34</v>
      </c>
      <c r="B6" s="2"/>
      <c r="C6" s="2"/>
      <c r="D6" s="2"/>
      <c r="E6" s="2"/>
    </row>
    <row r="7" spans="1:5" ht="12" customHeight="1" thickTop="1" x14ac:dyDescent="0.15">
      <c r="A7" s="24" t="s">
        <v>285</v>
      </c>
      <c r="B7" s="24"/>
      <c r="C7" s="24"/>
      <c r="D7" s="24"/>
      <c r="E7" s="24"/>
    </row>
    <row r="8" spans="1:5" x14ac:dyDescent="0.15">
      <c r="B8" s="7"/>
      <c r="C8" s="7"/>
      <c r="D8" s="7"/>
      <c r="E8" s="7"/>
    </row>
    <row r="10" spans="1:5" ht="18" thickBot="1" x14ac:dyDescent="0.25">
      <c r="A10" s="2" t="s">
        <v>42</v>
      </c>
      <c r="B10" s="2"/>
      <c r="C10" s="2"/>
      <c r="D10" s="2"/>
      <c r="E10" s="2"/>
    </row>
    <row r="11" spans="1:5" ht="17" thickTop="1" thickBot="1" x14ac:dyDescent="0.25">
      <c r="A11" s="4" t="s">
        <v>194</v>
      </c>
      <c r="B11" s="17"/>
      <c r="C11" s="17"/>
      <c r="D11" s="17"/>
      <c r="E11" s="17"/>
    </row>
    <row r="12" spans="1:5" ht="12" customHeight="1" x14ac:dyDescent="0.15">
      <c r="A12" t="s">
        <v>286</v>
      </c>
      <c r="B12" s="24" t="s">
        <v>287</v>
      </c>
      <c r="C12" s="24"/>
      <c r="D12" s="24"/>
      <c r="E12" s="24"/>
    </row>
    <row r="13" spans="1:5" ht="12" x14ac:dyDescent="0.15">
      <c r="A13" t="s">
        <v>288</v>
      </c>
      <c r="B13" s="24" t="s">
        <v>287</v>
      </c>
      <c r="C13" s="24"/>
      <c r="D13" s="24"/>
      <c r="E13" s="24"/>
    </row>
    <row r="14" spans="1:5" ht="12" customHeight="1" x14ac:dyDescent="0.15">
      <c r="A14" t="s">
        <v>289</v>
      </c>
      <c r="B14" s="24" t="s">
        <v>290</v>
      </c>
      <c r="C14" s="24"/>
      <c r="D14" s="24"/>
      <c r="E14" s="24"/>
    </row>
    <row r="15" spans="1:5" ht="24" customHeight="1" x14ac:dyDescent="0.15">
      <c r="A15" t="s">
        <v>291</v>
      </c>
      <c r="B15" s="24" t="s">
        <v>292</v>
      </c>
      <c r="C15" s="24"/>
      <c r="D15" s="24"/>
      <c r="E15" s="24"/>
    </row>
    <row r="16" spans="1:5" ht="14" customHeight="1" x14ac:dyDescent="0.15">
      <c r="A16" t="s">
        <v>293</v>
      </c>
      <c r="B16" s="24" t="s">
        <v>294</v>
      </c>
      <c r="C16" s="24"/>
      <c r="D16" s="24"/>
      <c r="E16" s="24"/>
    </row>
  </sheetData>
  <mergeCells count="7">
    <mergeCell ref="B16:E16"/>
    <mergeCell ref="A4:E4"/>
    <mergeCell ref="A7:E7"/>
    <mergeCell ref="B12:E12"/>
    <mergeCell ref="B13:E13"/>
    <mergeCell ref="B14:E14"/>
    <mergeCell ref="B15:E15"/>
  </mergeCells>
  <pageMargins left="0.45" right="0.45" top="0.25" bottom="0.25" header="0" footer="0"/>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3171-C76C-5D49-8E93-767FBBFA7ED3}">
  <dimension ref="A1:E61"/>
  <sheetViews>
    <sheetView view="pageBreakPreview" topLeftCell="A9" zoomScaleNormal="100" zoomScaleSheetLayoutView="100" workbookViewId="0">
      <selection activeCell="B55" sqref="B55:E55"/>
    </sheetView>
  </sheetViews>
  <sheetFormatPr baseColWidth="10" defaultRowHeight="11" x14ac:dyDescent="0.15"/>
  <cols>
    <col min="1" max="1" width="11" customWidth="1"/>
    <col min="2" max="2" width="26" customWidth="1"/>
    <col min="3" max="3" width="13" customWidth="1"/>
    <col min="4" max="4" width="8" customWidth="1"/>
    <col min="5" max="5" width="51.19921875" customWidth="1"/>
  </cols>
  <sheetData>
    <row r="1" spans="1:5" ht="21" thickBot="1" x14ac:dyDescent="0.3">
      <c r="A1" s="1" t="s">
        <v>196</v>
      </c>
      <c r="B1" s="1"/>
      <c r="C1" s="1"/>
      <c r="D1" s="1"/>
      <c r="E1" s="1"/>
    </row>
    <row r="2" spans="1:5" ht="12" thickTop="1" x14ac:dyDescent="0.15"/>
    <row r="3" spans="1:5" ht="18" thickBot="1" x14ac:dyDescent="0.25">
      <c r="A3" s="2" t="s">
        <v>8</v>
      </c>
      <c r="B3" s="2"/>
      <c r="C3" s="2"/>
      <c r="D3" s="2"/>
      <c r="E3" s="2"/>
    </row>
    <row r="4" spans="1:5" ht="24" customHeight="1" thickTop="1" x14ac:dyDescent="0.15">
      <c r="A4" s="27" t="s">
        <v>341</v>
      </c>
      <c r="B4" s="27"/>
      <c r="C4" s="27"/>
      <c r="D4" s="27"/>
      <c r="E4" s="27"/>
    </row>
    <row r="5" spans="1:5" ht="12" customHeight="1" x14ac:dyDescent="0.15">
      <c r="A5" s="7"/>
      <c r="B5" s="7"/>
      <c r="C5" s="7"/>
      <c r="D5" s="7"/>
      <c r="E5" s="7"/>
    </row>
    <row r="6" spans="1:5" ht="18" thickBot="1" x14ac:dyDescent="0.25">
      <c r="A6" s="2" t="s">
        <v>34</v>
      </c>
      <c r="B6" s="9"/>
      <c r="C6" s="2"/>
      <c r="D6" s="2"/>
      <c r="E6" s="2"/>
    </row>
    <row r="7" spans="1:5" ht="58" customHeight="1" thickTop="1" x14ac:dyDescent="0.15">
      <c r="A7" s="27" t="s">
        <v>359</v>
      </c>
      <c r="B7" s="27"/>
      <c r="C7" s="27"/>
      <c r="D7" s="27"/>
      <c r="E7" s="27"/>
    </row>
    <row r="8" spans="1:5" ht="24" customHeight="1" x14ac:dyDescent="0.15">
      <c r="A8" s="7"/>
      <c r="B8" s="7"/>
      <c r="C8" s="7"/>
      <c r="D8" s="7"/>
      <c r="E8" s="7"/>
    </row>
    <row r="9" spans="1:5" ht="18" thickBot="1" x14ac:dyDescent="0.25">
      <c r="A9" s="2" t="s">
        <v>0</v>
      </c>
      <c r="B9" s="2"/>
      <c r="C9" s="2"/>
      <c r="D9" s="2"/>
      <c r="E9" s="2"/>
    </row>
    <row r="10" spans="1:5" ht="17" thickTop="1" thickBot="1" x14ac:dyDescent="0.25">
      <c r="A10" s="4" t="s">
        <v>155</v>
      </c>
      <c r="B10" s="4" t="s">
        <v>9</v>
      </c>
      <c r="C10" s="4" t="s">
        <v>10</v>
      </c>
      <c r="D10" s="4" t="s">
        <v>11</v>
      </c>
      <c r="E10" s="4" t="s">
        <v>13</v>
      </c>
    </row>
    <row r="11" spans="1:5" ht="12" x14ac:dyDescent="0.15">
      <c r="A11" t="s">
        <v>322</v>
      </c>
      <c r="B11" s="8" t="s">
        <v>166</v>
      </c>
      <c r="C11" s="11">
        <v>40</v>
      </c>
      <c r="D11" s="8" t="s">
        <v>5</v>
      </c>
      <c r="E11" s="5" t="s">
        <v>165</v>
      </c>
    </row>
    <row r="12" spans="1:5" ht="12" x14ac:dyDescent="0.15">
      <c r="A12" t="s">
        <v>322</v>
      </c>
      <c r="B12" s="8" t="s">
        <v>348</v>
      </c>
      <c r="C12" s="11">
        <v>1</v>
      </c>
      <c r="D12" s="8" t="s">
        <v>349</v>
      </c>
      <c r="E12" s="5" t="s">
        <v>351</v>
      </c>
    </row>
    <row r="13" spans="1:5" ht="12" x14ac:dyDescent="0.15">
      <c r="A13" t="s">
        <v>322</v>
      </c>
      <c r="B13" s="8" t="s">
        <v>350</v>
      </c>
      <c r="C13" s="11">
        <v>25</v>
      </c>
      <c r="D13" s="8" t="s">
        <v>7</v>
      </c>
      <c r="E13" s="5" t="s">
        <v>352</v>
      </c>
    </row>
    <row r="14" spans="1:5" ht="12" x14ac:dyDescent="0.15">
      <c r="A14" t="s">
        <v>322</v>
      </c>
      <c r="B14" t="s">
        <v>324</v>
      </c>
      <c r="C14" s="11">
        <v>0.6</v>
      </c>
      <c r="D14" s="8" t="s">
        <v>5</v>
      </c>
      <c r="E14" t="s">
        <v>141</v>
      </c>
    </row>
    <row r="15" spans="1:5" ht="12" x14ac:dyDescent="0.15">
      <c r="A15" t="s">
        <v>322</v>
      </c>
      <c r="B15" t="s">
        <v>323</v>
      </c>
      <c r="C15" s="11">
        <v>0.2</v>
      </c>
      <c r="D15" s="8" t="s">
        <v>5</v>
      </c>
      <c r="E15" t="s">
        <v>325</v>
      </c>
    </row>
    <row r="16" spans="1:5" ht="12" x14ac:dyDescent="0.15">
      <c r="A16" t="s">
        <v>117</v>
      </c>
      <c r="B16" t="s">
        <v>188</v>
      </c>
      <c r="C16" s="11">
        <v>1</v>
      </c>
      <c r="D16" s="8" t="s">
        <v>200</v>
      </c>
      <c r="E16" t="s">
        <v>360</v>
      </c>
    </row>
    <row r="17" spans="1:5" ht="12" x14ac:dyDescent="0.15">
      <c r="A17" t="s">
        <v>117</v>
      </c>
      <c r="B17" t="s">
        <v>389</v>
      </c>
      <c r="C17" s="11">
        <v>0.16</v>
      </c>
      <c r="D17" t="s">
        <v>6</v>
      </c>
      <c r="E17" t="s">
        <v>390</v>
      </c>
    </row>
    <row r="18" spans="1:5" ht="12" x14ac:dyDescent="0.15">
      <c r="A18" t="s">
        <v>187</v>
      </c>
      <c r="B18" t="s">
        <v>189</v>
      </c>
      <c r="C18" s="11">
        <v>50</v>
      </c>
      <c r="D18" s="8"/>
      <c r="E18" t="s">
        <v>171</v>
      </c>
    </row>
    <row r="19" spans="1:5" ht="12" x14ac:dyDescent="0.15">
      <c r="A19" t="s">
        <v>187</v>
      </c>
      <c r="B19" s="8" t="s">
        <v>190</v>
      </c>
      <c r="C19" s="14">
        <v>1.0000000000000001E-5</v>
      </c>
      <c r="D19" s="8" t="s">
        <v>89</v>
      </c>
      <c r="E19" s="5" t="s">
        <v>172</v>
      </c>
    </row>
    <row r="20" spans="1:5" ht="12" x14ac:dyDescent="0.15">
      <c r="A20" t="s">
        <v>342</v>
      </c>
      <c r="B20" t="s">
        <v>343</v>
      </c>
      <c r="C20" s="11">
        <v>50</v>
      </c>
      <c r="D20" s="8" t="s">
        <v>5</v>
      </c>
      <c r="E20" t="s">
        <v>171</v>
      </c>
    </row>
    <row r="21" spans="1:5" ht="12" x14ac:dyDescent="0.15">
      <c r="A21" t="s">
        <v>342</v>
      </c>
      <c r="B21" s="8" t="s">
        <v>344</v>
      </c>
      <c r="C21" s="14">
        <v>1.0000000000000001E-5</v>
      </c>
      <c r="D21" s="8" t="s">
        <v>89</v>
      </c>
      <c r="E21" s="5" t="s">
        <v>172</v>
      </c>
    </row>
    <row r="22" spans="1:5" ht="12" x14ac:dyDescent="0.15">
      <c r="A22" t="s">
        <v>354</v>
      </c>
      <c r="B22" s="8" t="s">
        <v>355</v>
      </c>
      <c r="C22" s="23">
        <v>4.7</v>
      </c>
      <c r="D22" t="s">
        <v>6</v>
      </c>
      <c r="E22" s="5" t="s">
        <v>356</v>
      </c>
    </row>
    <row r="23" spans="1:5" ht="12" x14ac:dyDescent="0.15">
      <c r="A23" t="s">
        <v>156</v>
      </c>
      <c r="B23" s="8" t="s">
        <v>158</v>
      </c>
      <c r="C23" s="11">
        <v>60</v>
      </c>
      <c r="D23" s="8" t="s">
        <v>5</v>
      </c>
      <c r="E23" s="5" t="s">
        <v>143</v>
      </c>
    </row>
    <row r="24" spans="1:5" ht="12" x14ac:dyDescent="0.15">
      <c r="A24" t="s">
        <v>156</v>
      </c>
      <c r="B24" s="8" t="s">
        <v>160</v>
      </c>
      <c r="C24" s="11">
        <v>2.8</v>
      </c>
      <c r="D24" s="8" t="s">
        <v>5</v>
      </c>
      <c r="E24" s="5" t="s">
        <v>144</v>
      </c>
    </row>
    <row r="25" spans="1:5" ht="12" x14ac:dyDescent="0.15">
      <c r="A25" t="s">
        <v>156</v>
      </c>
      <c r="B25" s="8" t="s">
        <v>48</v>
      </c>
      <c r="C25" s="11">
        <v>3.3</v>
      </c>
      <c r="D25" s="8" t="s">
        <v>5</v>
      </c>
      <c r="E25" s="5" t="s">
        <v>145</v>
      </c>
    </row>
    <row r="26" spans="1:5" ht="12" x14ac:dyDescent="0.15">
      <c r="A26" t="s">
        <v>156</v>
      </c>
      <c r="B26" s="8" t="s">
        <v>153</v>
      </c>
      <c r="C26" s="11">
        <v>0.2</v>
      </c>
      <c r="D26" s="8" t="s">
        <v>7</v>
      </c>
      <c r="E26" s="5" t="s">
        <v>146</v>
      </c>
    </row>
    <row r="27" spans="1:5" ht="12" x14ac:dyDescent="0.15">
      <c r="A27" t="s">
        <v>156</v>
      </c>
      <c r="B27" s="8" t="s">
        <v>140</v>
      </c>
      <c r="C27" s="11">
        <v>0.7</v>
      </c>
      <c r="D27" s="8" t="s">
        <v>5</v>
      </c>
      <c r="E27" s="5" t="s">
        <v>142</v>
      </c>
    </row>
    <row r="28" spans="1:5" x14ac:dyDescent="0.15">
      <c r="B28" s="8"/>
      <c r="C28" s="11"/>
      <c r="D28" s="8"/>
      <c r="E28" s="5"/>
    </row>
    <row r="29" spans="1:5" ht="18" thickBot="1" x14ac:dyDescent="0.25">
      <c r="A29" s="2" t="s">
        <v>16</v>
      </c>
      <c r="B29" s="2"/>
      <c r="C29" s="2"/>
      <c r="D29" s="2"/>
      <c r="E29" s="2"/>
    </row>
    <row r="30" spans="1:5" ht="17" thickTop="1" thickBot="1" x14ac:dyDescent="0.25">
      <c r="A30" s="4" t="s">
        <v>194</v>
      </c>
      <c r="B30" s="4" t="s">
        <v>29</v>
      </c>
      <c r="C30" s="4" t="s">
        <v>30</v>
      </c>
      <c r="D30" s="4"/>
      <c r="E30" s="4" t="s">
        <v>8</v>
      </c>
    </row>
    <row r="31" spans="1:5" ht="24" x14ac:dyDescent="0.15">
      <c r="A31">
        <v>1</v>
      </c>
      <c r="B31" t="s">
        <v>327</v>
      </c>
      <c r="C31" t="b">
        <f>C11&gt;Project!C8</f>
        <v>1</v>
      </c>
      <c r="E31" t="s">
        <v>167</v>
      </c>
    </row>
    <row r="32" spans="1:5" ht="24" x14ac:dyDescent="0.15">
      <c r="A32">
        <f t="shared" ref="A32:A38" si="0">A31+1</f>
        <v>2</v>
      </c>
      <c r="B32" t="s">
        <v>328</v>
      </c>
      <c r="C32" t="b">
        <f>C23&gt;C43</f>
        <v>1</v>
      </c>
      <c r="E32" t="s">
        <v>169</v>
      </c>
    </row>
    <row r="33" spans="1:5" ht="24" x14ac:dyDescent="0.15">
      <c r="A33">
        <f t="shared" si="0"/>
        <v>3</v>
      </c>
      <c r="B33" t="s">
        <v>329</v>
      </c>
      <c r="C33" t="b">
        <f>C24&lt;C45</f>
        <v>1</v>
      </c>
      <c r="E33" t="s">
        <v>168</v>
      </c>
    </row>
    <row r="34" spans="1:5" ht="12" customHeight="1" x14ac:dyDescent="0.15">
      <c r="A34">
        <f t="shared" si="0"/>
        <v>4</v>
      </c>
      <c r="B34" t="s">
        <v>159</v>
      </c>
      <c r="C34" t="b">
        <f>C26&gt;'2x Processor'!C18</f>
        <v>1</v>
      </c>
      <c r="E34" t="s">
        <v>339</v>
      </c>
    </row>
    <row r="35" spans="1:5" ht="24" x14ac:dyDescent="0.15">
      <c r="A35">
        <f t="shared" si="0"/>
        <v>5</v>
      </c>
      <c r="B35" t="s">
        <v>330</v>
      </c>
      <c r="C35" t="b">
        <f>C45-C27&gt;=Project!C11</f>
        <v>1</v>
      </c>
      <c r="E35" t="s">
        <v>170</v>
      </c>
    </row>
    <row r="36" spans="1:5" ht="12" x14ac:dyDescent="0.15">
      <c r="A36">
        <f t="shared" si="0"/>
        <v>6</v>
      </c>
      <c r="B36" t="s">
        <v>345</v>
      </c>
      <c r="C36" t="b">
        <f>C18&gt;C43</f>
        <v>1</v>
      </c>
      <c r="E36" t="s">
        <v>51</v>
      </c>
    </row>
    <row r="37" spans="1:5" ht="12" x14ac:dyDescent="0.15">
      <c r="A37">
        <f t="shared" si="0"/>
        <v>7</v>
      </c>
      <c r="B37" t="s">
        <v>346</v>
      </c>
      <c r="C37" t="b">
        <f>C20&gt;C25</f>
        <v>1</v>
      </c>
      <c r="E37" t="s">
        <v>173</v>
      </c>
    </row>
    <row r="38" spans="1:5" ht="24" customHeight="1" x14ac:dyDescent="0.15">
      <c r="A38">
        <f t="shared" si="0"/>
        <v>8</v>
      </c>
      <c r="B38" t="s">
        <v>181</v>
      </c>
      <c r="C38" t="b">
        <f>C47&gt;Project!C10</f>
        <v>1</v>
      </c>
      <c r="E38" t="s">
        <v>176</v>
      </c>
    </row>
    <row r="39" spans="1:5" ht="24" customHeight="1" x14ac:dyDescent="0.15"/>
    <row r="40" spans="1:5" ht="18" thickBot="1" x14ac:dyDescent="0.25">
      <c r="A40" s="2" t="s">
        <v>12</v>
      </c>
      <c r="B40" s="2"/>
      <c r="C40" s="2"/>
      <c r="D40" s="2"/>
      <c r="E40" s="2"/>
    </row>
    <row r="41" spans="1:5" ht="17" thickTop="1" thickBot="1" x14ac:dyDescent="0.25">
      <c r="A41" s="4" t="s">
        <v>194</v>
      </c>
      <c r="B41" s="4" t="s">
        <v>39</v>
      </c>
      <c r="C41" s="4" t="s">
        <v>35</v>
      </c>
      <c r="D41" s="4" t="s">
        <v>11</v>
      </c>
      <c r="E41" s="4" t="s">
        <v>8</v>
      </c>
    </row>
    <row r="42" spans="1:5" ht="12" x14ac:dyDescent="0.15">
      <c r="A42">
        <v>1</v>
      </c>
      <c r="B42" t="s">
        <v>147</v>
      </c>
      <c r="C42">
        <f>2*C14</f>
        <v>1.2</v>
      </c>
      <c r="D42" t="s">
        <v>5</v>
      </c>
      <c r="E42" t="s">
        <v>148</v>
      </c>
    </row>
    <row r="43" spans="1:5" ht="12" x14ac:dyDescent="0.15">
      <c r="A43">
        <f>A42+1</f>
        <v>2</v>
      </c>
      <c r="B43" t="s">
        <v>161</v>
      </c>
      <c r="C43">
        <f>Project!C8-C42</f>
        <v>28.8</v>
      </c>
      <c r="D43" t="s">
        <v>5</v>
      </c>
      <c r="E43" t="s">
        <v>163</v>
      </c>
    </row>
    <row r="44" spans="1:5" ht="12" x14ac:dyDescent="0.15">
      <c r="A44">
        <f>A43+1</f>
        <v>3</v>
      </c>
      <c r="B44" t="s">
        <v>162</v>
      </c>
      <c r="C44">
        <f>Project!C9-C42</f>
        <v>4.8</v>
      </c>
      <c r="D44" t="s">
        <v>5</v>
      </c>
      <c r="E44" t="s">
        <v>164</v>
      </c>
    </row>
    <row r="45" spans="1:5" ht="12" x14ac:dyDescent="0.15">
      <c r="A45">
        <f>A44+1</f>
        <v>4</v>
      </c>
      <c r="B45" t="s">
        <v>326</v>
      </c>
      <c r="C45">
        <f>C44-C15</f>
        <v>4.5999999999999996</v>
      </c>
      <c r="D45" t="s">
        <v>5</v>
      </c>
      <c r="E45" t="s">
        <v>340</v>
      </c>
    </row>
    <row r="46" spans="1:5" ht="12" customHeight="1" x14ac:dyDescent="0.15">
      <c r="A46">
        <f>A44+1</f>
        <v>4</v>
      </c>
      <c r="B46" t="s">
        <v>175</v>
      </c>
      <c r="C46" s="12">
        <f>C19*(C44/0.01)*LN(1.111)</f>
        <v>5.0525045115596616E-4</v>
      </c>
      <c r="D46" t="s">
        <v>154</v>
      </c>
      <c r="E46" t="s">
        <v>191</v>
      </c>
    </row>
    <row r="47" spans="1:5" ht="25" customHeight="1" x14ac:dyDescent="0.15">
      <c r="A47">
        <f>A46+1</f>
        <v>5</v>
      </c>
      <c r="B47" t="s">
        <v>174</v>
      </c>
      <c r="C47" s="12">
        <f>C19*(C44/'2x Processor'!C35)*LN(1.111)</f>
        <v>8.0282503641225026E-5</v>
      </c>
      <c r="D47" t="s">
        <v>154</v>
      </c>
      <c r="E47" t="s">
        <v>192</v>
      </c>
    </row>
    <row r="48" spans="1:5" ht="24" customHeight="1" x14ac:dyDescent="0.15">
      <c r="A48">
        <f>A47+1</f>
        <v>6</v>
      </c>
      <c r="B48" t="s">
        <v>353</v>
      </c>
      <c r="C48" s="12">
        <f>(C43/C13)-C17</f>
        <v>0.9920000000000001</v>
      </c>
      <c r="D48" t="s">
        <v>6</v>
      </c>
      <c r="E48" t="s">
        <v>358</v>
      </c>
    </row>
    <row r="49" spans="1:5" ht="12" customHeight="1" x14ac:dyDescent="0.15">
      <c r="A49">
        <f>A48+1</f>
        <v>7</v>
      </c>
      <c r="B49" t="s">
        <v>357</v>
      </c>
      <c r="C49" s="12">
        <f>C43/(C17+C22)</f>
        <v>5.9259259259259256</v>
      </c>
      <c r="D49" t="s">
        <v>7</v>
      </c>
      <c r="E49" t="s">
        <v>347</v>
      </c>
    </row>
    <row r="50" spans="1:5" ht="12" customHeight="1" x14ac:dyDescent="0.15"/>
    <row r="51" spans="1:5" ht="18" thickBot="1" x14ac:dyDescent="0.25">
      <c r="A51" s="2" t="s">
        <v>38</v>
      </c>
      <c r="B51" s="2"/>
      <c r="C51" s="2"/>
      <c r="D51" s="2"/>
      <c r="E51" s="2"/>
    </row>
    <row r="52" spans="1:5" ht="17" thickTop="1" thickBot="1" x14ac:dyDescent="0.25">
      <c r="A52" s="4" t="s">
        <v>155</v>
      </c>
      <c r="B52" s="4" t="s">
        <v>52</v>
      </c>
      <c r="C52" s="4" t="s">
        <v>182</v>
      </c>
      <c r="D52" s="4" t="s">
        <v>183</v>
      </c>
      <c r="E52" s="4" t="s">
        <v>205</v>
      </c>
    </row>
    <row r="53" spans="1:5" ht="12" x14ac:dyDescent="0.15">
      <c r="A53" t="s">
        <v>117</v>
      </c>
      <c r="B53" t="s">
        <v>316</v>
      </c>
      <c r="C53" s="13" t="s">
        <v>207</v>
      </c>
      <c r="D53" t="s">
        <v>184</v>
      </c>
      <c r="E53" t="s">
        <v>243</v>
      </c>
    </row>
    <row r="54" spans="1:5" ht="12" x14ac:dyDescent="0.15">
      <c r="A54" t="s">
        <v>187</v>
      </c>
      <c r="B54" t="s">
        <v>316</v>
      </c>
      <c r="C54" s="13" t="s">
        <v>207</v>
      </c>
      <c r="D54" t="s">
        <v>184</v>
      </c>
      <c r="E54" t="s">
        <v>243</v>
      </c>
    </row>
    <row r="55" spans="1:5" ht="24" x14ac:dyDescent="0.15">
      <c r="A55" t="s">
        <v>322</v>
      </c>
      <c r="B55" t="s">
        <v>186</v>
      </c>
      <c r="C55" t="s">
        <v>185</v>
      </c>
      <c r="D55" t="s">
        <v>184</v>
      </c>
      <c r="E55" t="s">
        <v>206</v>
      </c>
    </row>
    <row r="56" spans="1:5" ht="12" x14ac:dyDescent="0.15">
      <c r="A56" t="s">
        <v>354</v>
      </c>
      <c r="B56" t="s">
        <v>400</v>
      </c>
      <c r="C56" s="13" t="s">
        <v>207</v>
      </c>
      <c r="D56" t="s">
        <v>184</v>
      </c>
      <c r="E56" t="s">
        <v>243</v>
      </c>
    </row>
    <row r="57" spans="1:5" ht="12" x14ac:dyDescent="0.15">
      <c r="A57" t="s">
        <v>156</v>
      </c>
      <c r="B57" t="s">
        <v>425</v>
      </c>
      <c r="C57" s="13" t="s">
        <v>1</v>
      </c>
      <c r="D57" t="s">
        <v>426</v>
      </c>
      <c r="E57" t="s">
        <v>427</v>
      </c>
    </row>
    <row r="59" spans="1:5" ht="18" thickBot="1" x14ac:dyDescent="0.25">
      <c r="A59" s="2" t="s">
        <v>42</v>
      </c>
      <c r="B59" s="2"/>
      <c r="C59" s="2"/>
      <c r="D59" s="2"/>
      <c r="E59" s="2"/>
    </row>
    <row r="60" spans="1:5" ht="19" thickTop="1" thickBot="1" x14ac:dyDescent="0.25">
      <c r="A60" s="4" t="s">
        <v>194</v>
      </c>
      <c r="B60" s="2" t="s">
        <v>13</v>
      </c>
      <c r="C60" s="2"/>
      <c r="D60" s="2"/>
      <c r="E60" s="2"/>
    </row>
    <row r="61" spans="1:5" ht="24" customHeight="1" x14ac:dyDescent="0.15">
      <c r="A61">
        <v>1</v>
      </c>
      <c r="B61" s="24"/>
      <c r="C61" s="24"/>
      <c r="D61" s="24"/>
      <c r="E61" s="24"/>
    </row>
  </sheetData>
  <mergeCells count="3">
    <mergeCell ref="A4:E4"/>
    <mergeCell ref="A7:E7"/>
    <mergeCell ref="B61:E61"/>
  </mergeCells>
  <pageMargins left="0.45" right="0.45" top="0.25" bottom="0.25" header="0" footer="0"/>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3005-C33F-734C-A841-38A3BF6EBFF8}">
  <dimension ref="A1:E51"/>
  <sheetViews>
    <sheetView view="pageBreakPreview" topLeftCell="A8" zoomScaleNormal="100" zoomScaleSheetLayoutView="100" workbookViewId="0">
      <selection activeCell="A51" sqref="A51:XFD51"/>
    </sheetView>
  </sheetViews>
  <sheetFormatPr baseColWidth="10" defaultRowHeight="11" x14ac:dyDescent="0.15"/>
  <cols>
    <col min="1" max="1" width="10.59765625" customWidth="1"/>
    <col min="2" max="2" width="26" customWidth="1"/>
    <col min="3" max="3" width="13" customWidth="1"/>
    <col min="4" max="4" width="8" customWidth="1"/>
    <col min="5" max="5" width="51" customWidth="1"/>
  </cols>
  <sheetData>
    <row r="1" spans="1:5" ht="21" thickBot="1" x14ac:dyDescent="0.3">
      <c r="A1" s="1" t="s">
        <v>197</v>
      </c>
      <c r="B1" s="1"/>
      <c r="C1" s="1"/>
      <c r="D1" s="1"/>
      <c r="E1" s="1"/>
    </row>
    <row r="2" spans="1:5" ht="12" thickTop="1" x14ac:dyDescent="0.15"/>
    <row r="3" spans="1:5" ht="18" thickBot="1" x14ac:dyDescent="0.25">
      <c r="A3" s="2" t="s">
        <v>8</v>
      </c>
      <c r="B3" s="2"/>
      <c r="C3" s="2"/>
      <c r="D3" s="2"/>
      <c r="E3" s="2"/>
    </row>
    <row r="4" spans="1:5" ht="48" customHeight="1" thickTop="1" x14ac:dyDescent="0.15">
      <c r="A4" s="25" t="s">
        <v>193</v>
      </c>
      <c r="B4" s="25"/>
      <c r="C4" s="25"/>
      <c r="D4" s="25"/>
      <c r="E4" s="25"/>
    </row>
    <row r="6" spans="1:5" ht="18" thickBot="1" x14ac:dyDescent="0.25">
      <c r="A6" s="2" t="s">
        <v>34</v>
      </c>
      <c r="B6" s="2"/>
      <c r="C6" s="2"/>
      <c r="D6" s="2"/>
      <c r="E6" s="2"/>
    </row>
    <row r="7" spans="1:5" ht="36" customHeight="1" thickTop="1" x14ac:dyDescent="0.15">
      <c r="A7" s="25" t="s">
        <v>331</v>
      </c>
      <c r="B7" s="25"/>
      <c r="C7" s="25"/>
      <c r="D7" s="25"/>
      <c r="E7" s="25"/>
    </row>
    <row r="8" spans="1:5" x14ac:dyDescent="0.15">
      <c r="B8" s="7"/>
      <c r="C8" s="7"/>
      <c r="D8" s="7"/>
      <c r="E8" s="7"/>
    </row>
    <row r="9" spans="1:5" ht="18" thickBot="1" x14ac:dyDescent="0.25">
      <c r="A9" s="2" t="s">
        <v>0</v>
      </c>
      <c r="B9" s="2"/>
      <c r="C9" s="2"/>
      <c r="D9" s="2"/>
      <c r="E9" s="2"/>
    </row>
    <row r="10" spans="1:5" ht="17" thickTop="1" thickBot="1" x14ac:dyDescent="0.25">
      <c r="A10" s="4" t="s">
        <v>155</v>
      </c>
      <c r="B10" s="4" t="s">
        <v>9</v>
      </c>
      <c r="C10" s="4" t="s">
        <v>10</v>
      </c>
      <c r="D10" s="4" t="s">
        <v>11</v>
      </c>
      <c r="E10" s="4" t="s">
        <v>13</v>
      </c>
    </row>
    <row r="11" spans="1:5" ht="12" x14ac:dyDescent="0.15">
      <c r="A11" t="s">
        <v>90</v>
      </c>
      <c r="B11" t="s">
        <v>188</v>
      </c>
      <c r="C11" s="15">
        <v>9.9999999999999995E-8</v>
      </c>
      <c r="D11" t="s">
        <v>200</v>
      </c>
      <c r="E11" t="s">
        <v>199</v>
      </c>
    </row>
    <row r="12" spans="1:5" ht="12" x14ac:dyDescent="0.15">
      <c r="A12" t="s">
        <v>198</v>
      </c>
      <c r="B12" t="s">
        <v>203</v>
      </c>
      <c r="C12" s="15">
        <v>9.9999999999999995E-8</v>
      </c>
      <c r="D12" t="s">
        <v>200</v>
      </c>
      <c r="E12" t="s">
        <v>201</v>
      </c>
    </row>
    <row r="13" spans="1:5" ht="12" x14ac:dyDescent="0.15">
      <c r="A13" t="s">
        <v>319</v>
      </c>
      <c r="B13" t="s">
        <v>166</v>
      </c>
      <c r="C13">
        <v>40</v>
      </c>
      <c r="D13" s="8" t="s">
        <v>5</v>
      </c>
      <c r="E13" s="5" t="s">
        <v>165</v>
      </c>
    </row>
    <row r="14" spans="1:5" ht="12" x14ac:dyDescent="0.15">
      <c r="A14" t="s">
        <v>319</v>
      </c>
      <c r="B14" t="s">
        <v>321</v>
      </c>
      <c r="C14">
        <v>0.2</v>
      </c>
      <c r="D14" s="8" t="s">
        <v>5</v>
      </c>
      <c r="E14" t="s">
        <v>320</v>
      </c>
    </row>
    <row r="15" spans="1:5" ht="12" x14ac:dyDescent="0.15">
      <c r="A15" t="s">
        <v>87</v>
      </c>
      <c r="B15" t="s">
        <v>204</v>
      </c>
      <c r="C15">
        <v>10000</v>
      </c>
      <c r="D15" t="s">
        <v>6</v>
      </c>
      <c r="E15" t="s">
        <v>202</v>
      </c>
    </row>
    <row r="16" spans="1:5" ht="12" customHeight="1" x14ac:dyDescent="0.15">
      <c r="A16" t="s">
        <v>195</v>
      </c>
      <c r="B16" t="s">
        <v>63</v>
      </c>
      <c r="C16">
        <v>2.5000000000000001E-2</v>
      </c>
      <c r="D16" t="s">
        <v>7</v>
      </c>
      <c r="E16" t="s">
        <v>50</v>
      </c>
    </row>
    <row r="17" spans="1:5" ht="12" customHeight="1" x14ac:dyDescent="0.15">
      <c r="A17" t="s">
        <v>195</v>
      </c>
      <c r="B17" t="s">
        <v>64</v>
      </c>
      <c r="C17">
        <v>7.0000000000000007E-2</v>
      </c>
      <c r="D17" t="s">
        <v>7</v>
      </c>
      <c r="E17" t="s">
        <v>50</v>
      </c>
    </row>
    <row r="18" spans="1:5" ht="12" x14ac:dyDescent="0.15">
      <c r="A18" t="s">
        <v>195</v>
      </c>
      <c r="B18" t="s">
        <v>49</v>
      </c>
      <c r="C18">
        <v>0.19</v>
      </c>
      <c r="D18" t="s">
        <v>7</v>
      </c>
      <c r="E18" t="s">
        <v>50</v>
      </c>
    </row>
    <row r="19" spans="1:5" ht="12" x14ac:dyDescent="0.15">
      <c r="A19" t="s">
        <v>195</v>
      </c>
      <c r="B19" t="s">
        <v>65</v>
      </c>
      <c r="C19">
        <v>1.8</v>
      </c>
      <c r="D19" t="s">
        <v>5</v>
      </c>
      <c r="E19" t="s">
        <v>53</v>
      </c>
    </row>
    <row r="20" spans="1:5" ht="12" x14ac:dyDescent="0.15">
      <c r="A20" t="s">
        <v>195</v>
      </c>
      <c r="B20" t="s">
        <v>66</v>
      </c>
      <c r="C20">
        <v>5.5</v>
      </c>
      <c r="D20" t="s">
        <v>5</v>
      </c>
      <c r="E20" t="s">
        <v>53</v>
      </c>
    </row>
    <row r="21" spans="1:5" ht="12" customHeight="1" x14ac:dyDescent="0.15">
      <c r="A21" t="s">
        <v>195</v>
      </c>
      <c r="B21" t="s">
        <v>56</v>
      </c>
      <c r="C21">
        <f>0.15*Project!C14</f>
        <v>8.9999999999999993E-3</v>
      </c>
      <c r="D21" t="s">
        <v>5</v>
      </c>
      <c r="E21" t="s">
        <v>57</v>
      </c>
    </row>
    <row r="22" spans="1:5" ht="12" x14ac:dyDescent="0.15">
      <c r="A22" t="s">
        <v>195</v>
      </c>
      <c r="B22" t="s">
        <v>54</v>
      </c>
      <c r="C22">
        <f>0.25*Project!C14+0.8</f>
        <v>0.81500000000000006</v>
      </c>
      <c r="D22" t="s">
        <v>5</v>
      </c>
      <c r="E22" t="s">
        <v>55</v>
      </c>
    </row>
    <row r="23" spans="1:5" ht="12" customHeight="1" x14ac:dyDescent="0.15">
      <c r="A23" t="s">
        <v>195</v>
      </c>
      <c r="B23" t="s">
        <v>58</v>
      </c>
      <c r="C23">
        <v>0.3</v>
      </c>
      <c r="D23" t="s">
        <v>5</v>
      </c>
      <c r="E23" t="s">
        <v>50</v>
      </c>
    </row>
    <row r="24" spans="1:5" ht="12" customHeight="1" x14ac:dyDescent="0.15">
      <c r="A24" t="s">
        <v>195</v>
      </c>
      <c r="B24" t="s">
        <v>151</v>
      </c>
      <c r="C24">
        <v>1.38E-2</v>
      </c>
      <c r="D24" t="s">
        <v>7</v>
      </c>
      <c r="E24" t="s">
        <v>152</v>
      </c>
    </row>
    <row r="25" spans="1:5" x14ac:dyDescent="0.15">
      <c r="E25" s="5"/>
    </row>
    <row r="26" spans="1:5" ht="18" thickBot="1" x14ac:dyDescent="0.25">
      <c r="A26" s="2" t="s">
        <v>16</v>
      </c>
      <c r="B26" s="2"/>
      <c r="C26" s="2"/>
      <c r="D26" s="2"/>
      <c r="E26" s="2"/>
    </row>
    <row r="27" spans="1:5" ht="17" thickTop="1" thickBot="1" x14ac:dyDescent="0.25">
      <c r="A27" s="4" t="s">
        <v>157</v>
      </c>
      <c r="B27" s="4" t="s">
        <v>29</v>
      </c>
      <c r="C27" s="4" t="s">
        <v>30</v>
      </c>
      <c r="D27" s="4"/>
      <c r="E27" s="4" t="s">
        <v>8</v>
      </c>
    </row>
    <row r="28" spans="1:5" ht="12" x14ac:dyDescent="0.15">
      <c r="A28">
        <v>1</v>
      </c>
      <c r="B28" t="s">
        <v>61</v>
      </c>
      <c r="C28" t="b">
        <f>C19&lt;Project!C11</f>
        <v>1</v>
      </c>
      <c r="E28" s="5" t="s">
        <v>59</v>
      </c>
    </row>
    <row r="29" spans="1:5" ht="12" x14ac:dyDescent="0.15">
      <c r="A29">
        <f>A28+1</f>
        <v>2</v>
      </c>
      <c r="B29" t="s">
        <v>62</v>
      </c>
      <c r="C29" t="b">
        <f>C20&gt;Project!C11</f>
        <v>1</v>
      </c>
      <c r="E29" s="5" t="s">
        <v>59</v>
      </c>
    </row>
    <row r="30" spans="1:5" ht="12" customHeight="1" x14ac:dyDescent="0.15">
      <c r="A30">
        <f>A29+1</f>
        <v>3</v>
      </c>
      <c r="B30" t="s">
        <v>138</v>
      </c>
      <c r="C30" t="b">
        <f>C17&gt;C35</f>
        <v>1</v>
      </c>
      <c r="E30" t="s">
        <v>139</v>
      </c>
    </row>
    <row r="31" spans="1:5" ht="12" customHeight="1" x14ac:dyDescent="0.15">
      <c r="A31">
        <f>A30+1</f>
        <v>4</v>
      </c>
      <c r="B31" t="s">
        <v>394</v>
      </c>
      <c r="C31" t="b">
        <f>C37&lt;1/16</f>
        <v>1</v>
      </c>
      <c r="E31" t="s">
        <v>396</v>
      </c>
    </row>
    <row r="33" spans="1:5" ht="18" thickBot="1" x14ac:dyDescent="0.25">
      <c r="A33" s="2" t="s">
        <v>12</v>
      </c>
      <c r="B33" s="2"/>
      <c r="C33" s="2"/>
      <c r="D33" s="2"/>
      <c r="E33" s="2"/>
    </row>
    <row r="34" spans="1:5" ht="17" thickTop="1" thickBot="1" x14ac:dyDescent="0.25">
      <c r="A34" s="4" t="s">
        <v>157</v>
      </c>
      <c r="B34" s="4" t="s">
        <v>10</v>
      </c>
      <c r="C34" s="4" t="s">
        <v>35</v>
      </c>
      <c r="D34" s="4"/>
      <c r="E34" s="4" t="s">
        <v>8</v>
      </c>
    </row>
    <row r="35" spans="1:5" ht="12" x14ac:dyDescent="0.15">
      <c r="A35">
        <v>1</v>
      </c>
      <c r="B35" t="s">
        <v>153</v>
      </c>
      <c r="C35" s="16">
        <f>'7x Function Outputs'!C29+(2*'5x Motor Drive'!C67) + (2*'6x F0F-F0R'!C25)</f>
        <v>6.2934067603806043E-2</v>
      </c>
      <c r="D35" t="s">
        <v>7</v>
      </c>
      <c r="E35" t="s">
        <v>137</v>
      </c>
    </row>
    <row r="36" spans="1:5" ht="12" x14ac:dyDescent="0.15">
      <c r="A36">
        <f>A35+1</f>
        <v>2</v>
      </c>
      <c r="B36" t="s">
        <v>318</v>
      </c>
      <c r="C36" s="12">
        <f>Project!C11/C15</f>
        <v>3.3E-4</v>
      </c>
      <c r="D36" t="s">
        <v>7</v>
      </c>
      <c r="E36" t="s">
        <v>212</v>
      </c>
    </row>
    <row r="37" spans="1:5" ht="12" x14ac:dyDescent="0.15">
      <c r="A37">
        <f>A36+1</f>
        <v>3</v>
      </c>
      <c r="B37" t="s">
        <v>317</v>
      </c>
      <c r="C37" s="12">
        <f>Project!C11*C36</f>
        <v>1.0889999999999999E-3</v>
      </c>
      <c r="D37" t="s">
        <v>60</v>
      </c>
    </row>
    <row r="39" spans="1:5" ht="18" thickBot="1" x14ac:dyDescent="0.25">
      <c r="A39" s="2" t="s">
        <v>38</v>
      </c>
      <c r="B39" s="2"/>
      <c r="C39" s="2"/>
      <c r="D39" s="2"/>
      <c r="E39" s="2"/>
    </row>
    <row r="40" spans="1:5" ht="17" thickTop="1" thickBot="1" x14ac:dyDescent="0.25">
      <c r="A40" s="4" t="s">
        <v>155</v>
      </c>
      <c r="B40" s="4" t="s">
        <v>52</v>
      </c>
      <c r="C40" s="4" t="s">
        <v>182</v>
      </c>
      <c r="D40" s="4" t="s">
        <v>183</v>
      </c>
      <c r="E40" s="4" t="s">
        <v>205</v>
      </c>
    </row>
    <row r="41" spans="1:5" ht="12" x14ac:dyDescent="0.15">
      <c r="A41" t="s">
        <v>90</v>
      </c>
      <c r="B41" t="s">
        <v>208</v>
      </c>
      <c r="C41" s="13" t="s">
        <v>207</v>
      </c>
      <c r="D41" t="s">
        <v>184</v>
      </c>
      <c r="E41" t="s">
        <v>225</v>
      </c>
    </row>
    <row r="42" spans="1:5" ht="12" x14ac:dyDescent="0.15">
      <c r="A42" t="s">
        <v>198</v>
      </c>
      <c r="B42" t="s">
        <v>208</v>
      </c>
      <c r="C42" s="13" t="s">
        <v>207</v>
      </c>
      <c r="D42" t="s">
        <v>184</v>
      </c>
      <c r="E42" t="s">
        <v>225</v>
      </c>
    </row>
    <row r="43" spans="1:5" ht="24" x14ac:dyDescent="0.15">
      <c r="A43" t="s">
        <v>319</v>
      </c>
      <c r="B43" t="s">
        <v>186</v>
      </c>
      <c r="C43" t="s">
        <v>185</v>
      </c>
      <c r="D43" t="s">
        <v>184</v>
      </c>
      <c r="E43" t="s">
        <v>206</v>
      </c>
    </row>
    <row r="44" spans="1:5" ht="12" x14ac:dyDescent="0.15">
      <c r="A44" t="s">
        <v>87</v>
      </c>
      <c r="B44" t="s">
        <v>430</v>
      </c>
      <c r="C44" s="13" t="s">
        <v>207</v>
      </c>
      <c r="D44" t="s">
        <v>184</v>
      </c>
      <c r="E44" t="s">
        <v>225</v>
      </c>
    </row>
    <row r="45" spans="1:5" ht="12" x14ac:dyDescent="0.15">
      <c r="A45" t="s">
        <v>195</v>
      </c>
      <c r="B45" t="s">
        <v>36</v>
      </c>
      <c r="C45" t="s">
        <v>210</v>
      </c>
      <c r="D45" t="s">
        <v>209</v>
      </c>
      <c r="E45" t="s">
        <v>211</v>
      </c>
    </row>
    <row r="47" spans="1:5" ht="18" thickBot="1" x14ac:dyDescent="0.25">
      <c r="A47" s="2" t="s">
        <v>42</v>
      </c>
      <c r="B47" s="2"/>
      <c r="C47" s="2"/>
      <c r="D47" s="2"/>
      <c r="E47" s="2"/>
    </row>
    <row r="48" spans="1:5" ht="17" thickTop="1" thickBot="1" x14ac:dyDescent="0.25">
      <c r="A48" s="4" t="s">
        <v>194</v>
      </c>
      <c r="B48" s="4" t="s">
        <v>13</v>
      </c>
      <c r="C48" s="17"/>
      <c r="D48" s="4"/>
      <c r="E48" s="4"/>
    </row>
    <row r="49" spans="1:5" ht="24" customHeight="1" x14ac:dyDescent="0.15">
      <c r="A49">
        <v>1</v>
      </c>
      <c r="B49" s="30" t="s">
        <v>437</v>
      </c>
      <c r="C49" s="30"/>
      <c r="D49" s="30"/>
      <c r="E49" s="30"/>
    </row>
    <row r="50" spans="1:5" ht="95" customHeight="1" x14ac:dyDescent="0.15">
      <c r="A50">
        <f>A49+1</f>
        <v>2</v>
      </c>
      <c r="B50" s="24" t="s">
        <v>438</v>
      </c>
      <c r="C50" s="24"/>
      <c r="D50" s="24"/>
      <c r="E50" s="24"/>
    </row>
    <row r="51" spans="1:5" x14ac:dyDescent="0.15">
      <c r="B51" s="24"/>
      <c r="C51" s="24"/>
      <c r="D51" s="24"/>
      <c r="E51" s="24"/>
    </row>
  </sheetData>
  <mergeCells count="5">
    <mergeCell ref="B51:E51"/>
    <mergeCell ref="A4:E4"/>
    <mergeCell ref="A7:E7"/>
    <mergeCell ref="B49:E49"/>
    <mergeCell ref="B50:E50"/>
  </mergeCells>
  <hyperlinks>
    <hyperlink ref="B14" r:id="rId1" display="Vdrop@1ma" xr:uid="{D586073C-8E2B-AB4D-96FB-6CED291460FF}"/>
  </hyperlinks>
  <pageMargins left="0.45" right="0.45" top="0.25" bottom="0.25" header="0" footer="0"/>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8CBAA-309A-224B-8E23-8AE8F406AA5A}">
  <dimension ref="A1:E42"/>
  <sheetViews>
    <sheetView view="pageBreakPreview" zoomScaleNormal="100" zoomScaleSheetLayoutView="100" workbookViewId="0">
      <selection activeCell="C31" sqref="C31"/>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270</v>
      </c>
      <c r="B1" s="1"/>
      <c r="C1" s="1"/>
      <c r="D1" s="1"/>
      <c r="E1" s="1"/>
    </row>
    <row r="2" spans="1:5" ht="12" thickTop="1" x14ac:dyDescent="0.15"/>
    <row r="3" spans="1:5" ht="18" thickBot="1" x14ac:dyDescent="0.25">
      <c r="A3" s="2" t="s">
        <v>8</v>
      </c>
      <c r="B3" s="2"/>
      <c r="C3" s="2"/>
      <c r="D3" s="2"/>
      <c r="E3" s="2"/>
    </row>
    <row r="4" spans="1:5" ht="56" customHeight="1" thickTop="1" x14ac:dyDescent="0.15">
      <c r="A4" s="25" t="s">
        <v>397</v>
      </c>
      <c r="B4" s="25"/>
      <c r="C4" s="25"/>
      <c r="D4" s="25"/>
      <c r="E4" s="25"/>
    </row>
    <row r="6" spans="1:5" ht="18" thickBot="1" x14ac:dyDescent="0.25">
      <c r="A6" s="2" t="s">
        <v>34</v>
      </c>
      <c r="B6" s="2"/>
      <c r="C6" s="2"/>
      <c r="D6" s="2"/>
      <c r="E6" s="2"/>
    </row>
    <row r="7" spans="1:5" ht="56" customHeight="1" thickTop="1" x14ac:dyDescent="0.15">
      <c r="A7" s="25" t="s">
        <v>407</v>
      </c>
      <c r="B7" s="25"/>
      <c r="C7" s="25"/>
      <c r="D7" s="25"/>
      <c r="E7" s="25"/>
    </row>
    <row r="8" spans="1:5" x14ac:dyDescent="0.15">
      <c r="B8" s="7"/>
      <c r="C8" s="7"/>
      <c r="D8" s="7"/>
      <c r="E8" s="7"/>
    </row>
    <row r="9" spans="1:5" ht="18" thickBot="1" x14ac:dyDescent="0.25">
      <c r="A9" s="2" t="s">
        <v>0</v>
      </c>
      <c r="B9" s="2"/>
      <c r="C9" s="2"/>
      <c r="D9" s="2"/>
      <c r="E9" s="2"/>
    </row>
    <row r="10" spans="1:5" ht="17" thickTop="1" thickBot="1" x14ac:dyDescent="0.25">
      <c r="A10" s="4" t="s">
        <v>155</v>
      </c>
      <c r="B10" s="4" t="s">
        <v>9</v>
      </c>
      <c r="C10" s="4" t="s">
        <v>10</v>
      </c>
      <c r="D10" s="4" t="s">
        <v>11</v>
      </c>
      <c r="E10" s="4" t="s">
        <v>13</v>
      </c>
    </row>
    <row r="11" spans="1:5" ht="12" x14ac:dyDescent="0.15">
      <c r="A11" t="s">
        <v>271</v>
      </c>
      <c r="B11" t="s">
        <v>296</v>
      </c>
      <c r="C11" s="20">
        <v>10000</v>
      </c>
      <c r="D11" t="s">
        <v>6</v>
      </c>
    </row>
    <row r="12" spans="1:5" ht="12" x14ac:dyDescent="0.15">
      <c r="A12" t="s">
        <v>272</v>
      </c>
      <c r="B12" t="s">
        <v>297</v>
      </c>
      <c r="C12" s="20">
        <v>10000</v>
      </c>
      <c r="D12" t="s">
        <v>6</v>
      </c>
    </row>
    <row r="13" spans="1:5" ht="12" x14ac:dyDescent="0.15">
      <c r="A13" t="s">
        <v>273</v>
      </c>
      <c r="B13" t="s">
        <v>2</v>
      </c>
      <c r="C13">
        <v>50</v>
      </c>
      <c r="D13" t="s">
        <v>5</v>
      </c>
      <c r="E13" t="s">
        <v>279</v>
      </c>
    </row>
    <row r="14" spans="1:5" ht="12" x14ac:dyDescent="0.15">
      <c r="A14" t="s">
        <v>273</v>
      </c>
      <c r="B14" t="s">
        <v>278</v>
      </c>
      <c r="C14">
        <v>20</v>
      </c>
      <c r="D14" t="s">
        <v>5</v>
      </c>
      <c r="E14" t="s">
        <v>280</v>
      </c>
    </row>
    <row r="15" spans="1:5" ht="12" x14ac:dyDescent="0.15">
      <c r="A15" t="s">
        <v>273</v>
      </c>
      <c r="B15" t="s">
        <v>14</v>
      </c>
      <c r="C15">
        <v>1.5</v>
      </c>
      <c r="D15" t="s">
        <v>5</v>
      </c>
      <c r="E15" t="s">
        <v>281</v>
      </c>
    </row>
    <row r="16" spans="1:5" ht="12" x14ac:dyDescent="0.15">
      <c r="A16" t="s">
        <v>273</v>
      </c>
      <c r="B16" t="s">
        <v>3</v>
      </c>
      <c r="C16">
        <v>3.5</v>
      </c>
      <c r="D16" t="s">
        <v>6</v>
      </c>
      <c r="E16" t="s">
        <v>25</v>
      </c>
    </row>
    <row r="17" spans="1:5" ht="12" x14ac:dyDescent="0.15">
      <c r="A17" t="s">
        <v>273</v>
      </c>
      <c r="B17" t="s">
        <v>4</v>
      </c>
      <c r="C17">
        <v>0.31</v>
      </c>
      <c r="D17" t="s">
        <v>7</v>
      </c>
      <c r="E17" t="s">
        <v>24</v>
      </c>
    </row>
    <row r="18" spans="1:5" ht="12" x14ac:dyDescent="0.15">
      <c r="A18" t="s">
        <v>273</v>
      </c>
      <c r="B18" t="s">
        <v>15</v>
      </c>
      <c r="C18">
        <v>120</v>
      </c>
      <c r="D18" t="s">
        <v>6</v>
      </c>
      <c r="E18" t="s">
        <v>25</v>
      </c>
    </row>
    <row r="19" spans="1:5" x14ac:dyDescent="0.15">
      <c r="E19" s="5"/>
    </row>
    <row r="20" spans="1:5" ht="18" thickBot="1" x14ac:dyDescent="0.25">
      <c r="A20" s="2" t="s">
        <v>16</v>
      </c>
      <c r="B20" s="2"/>
      <c r="C20" s="2"/>
      <c r="D20" s="2"/>
      <c r="E20" s="2"/>
    </row>
    <row r="21" spans="1:5" ht="17" thickTop="1" thickBot="1" x14ac:dyDescent="0.25">
      <c r="A21" s="4" t="s">
        <v>157</v>
      </c>
      <c r="B21" s="4" t="s">
        <v>29</v>
      </c>
      <c r="C21" s="4" t="s">
        <v>30</v>
      </c>
      <c r="D21" s="4"/>
      <c r="E21" s="4" t="s">
        <v>8</v>
      </c>
    </row>
    <row r="22" spans="1:5" ht="12" x14ac:dyDescent="0.15">
      <c r="A22">
        <v>1</v>
      </c>
      <c r="B22" t="s">
        <v>274</v>
      </c>
      <c r="C22" t="b">
        <f>C13&gt;Project!C11</f>
        <v>1</v>
      </c>
      <c r="E22" s="5" t="s">
        <v>412</v>
      </c>
    </row>
    <row r="23" spans="1:5" ht="24" x14ac:dyDescent="0.15">
      <c r="A23">
        <f>A22+1</f>
        <v>2</v>
      </c>
      <c r="B23" t="s">
        <v>277</v>
      </c>
      <c r="C23" t="b">
        <f>C15&lt;C30</f>
        <v>1</v>
      </c>
      <c r="E23" t="s">
        <v>411</v>
      </c>
    </row>
    <row r="24" spans="1:5" ht="24" x14ac:dyDescent="0.15">
      <c r="A24">
        <f t="shared" ref="A24" si="0">A23+1</f>
        <v>3</v>
      </c>
      <c r="B24" t="s">
        <v>414</v>
      </c>
      <c r="C24" t="b">
        <f>C14&gt;C29</f>
        <v>1</v>
      </c>
      <c r="E24" t="s">
        <v>413</v>
      </c>
    </row>
    <row r="25" spans="1:5" ht="12" x14ac:dyDescent="0.15">
      <c r="A25" t="e">
        <f>#REF!+1</f>
        <v>#REF!</v>
      </c>
      <c r="B25" t="s">
        <v>410</v>
      </c>
      <c r="C25" t="b">
        <f>C31&lt;1/8</f>
        <v>1</v>
      </c>
      <c r="E25" t="s">
        <v>396</v>
      </c>
    </row>
    <row r="27" spans="1:5" ht="18" thickBot="1" x14ac:dyDescent="0.25">
      <c r="A27" s="2" t="s">
        <v>12</v>
      </c>
      <c r="B27" s="2"/>
      <c r="C27" s="2"/>
      <c r="D27" s="2"/>
      <c r="E27" s="2"/>
    </row>
    <row r="28" spans="1:5" ht="17" thickTop="1" thickBot="1" x14ac:dyDescent="0.25">
      <c r="A28" s="4" t="s">
        <v>157</v>
      </c>
      <c r="B28" s="4" t="s">
        <v>10</v>
      </c>
      <c r="C28" s="4" t="s">
        <v>35</v>
      </c>
      <c r="D28" s="4"/>
      <c r="E28" s="4" t="s">
        <v>8</v>
      </c>
    </row>
    <row r="29" spans="1:5" ht="12" x14ac:dyDescent="0.15">
      <c r="A29">
        <v>1</v>
      </c>
      <c r="B29" t="s">
        <v>275</v>
      </c>
      <c r="C29" s="18">
        <f>(Project!C8 * C12)/(C11+C12)</f>
        <v>15</v>
      </c>
      <c r="D29" t="s">
        <v>5</v>
      </c>
      <c r="E29" t="s">
        <v>432</v>
      </c>
    </row>
    <row r="30" spans="1:5" ht="12" x14ac:dyDescent="0.15">
      <c r="A30">
        <f t="shared" ref="A30:A31" si="1">A29+1</f>
        <v>2</v>
      </c>
      <c r="B30" t="s">
        <v>276</v>
      </c>
      <c r="C30" s="18">
        <f>(Project!C9 * C12)/(C11+C12)</f>
        <v>3</v>
      </c>
      <c r="D30" t="s">
        <v>5</v>
      </c>
      <c r="E30" t="s">
        <v>431</v>
      </c>
    </row>
    <row r="31" spans="1:5" ht="12" x14ac:dyDescent="0.15">
      <c r="A31">
        <f t="shared" si="1"/>
        <v>3</v>
      </c>
      <c r="B31" t="s">
        <v>408</v>
      </c>
      <c r="C31" s="16">
        <f>C29^2/(C11+C12)</f>
        <v>1.125E-2</v>
      </c>
      <c r="D31" t="s">
        <v>60</v>
      </c>
      <c r="E31" t="s">
        <v>409</v>
      </c>
    </row>
    <row r="32" spans="1:5" x14ac:dyDescent="0.15">
      <c r="C32" s="16"/>
    </row>
    <row r="33" spans="1:5" x14ac:dyDescent="0.15">
      <c r="C33" s="16"/>
    </row>
    <row r="34" spans="1:5" ht="18" thickBot="1" x14ac:dyDescent="0.25">
      <c r="A34" s="2" t="s">
        <v>38</v>
      </c>
      <c r="B34" s="2"/>
      <c r="C34" s="2"/>
      <c r="D34" s="2"/>
      <c r="E34" s="2"/>
    </row>
    <row r="35" spans="1:5" ht="17" thickTop="1" thickBot="1" x14ac:dyDescent="0.25">
      <c r="A35" s="4" t="s">
        <v>155</v>
      </c>
      <c r="B35" s="4" t="s">
        <v>52</v>
      </c>
      <c r="C35" s="4" t="s">
        <v>182</v>
      </c>
      <c r="D35" s="4" t="s">
        <v>183</v>
      </c>
      <c r="E35" s="4" t="s">
        <v>205</v>
      </c>
    </row>
    <row r="36" spans="1:5" ht="12" x14ac:dyDescent="0.15">
      <c r="A36" t="s">
        <v>273</v>
      </c>
      <c r="B36" t="s">
        <v>402</v>
      </c>
      <c r="C36" t="s">
        <v>1</v>
      </c>
      <c r="D36" t="s">
        <v>184</v>
      </c>
      <c r="E36" t="s">
        <v>402</v>
      </c>
    </row>
    <row r="37" spans="1:5" ht="12" x14ac:dyDescent="0.15">
      <c r="A37" t="s">
        <v>88</v>
      </c>
      <c r="B37" t="s">
        <v>283</v>
      </c>
      <c r="C37" s="13" t="s">
        <v>207</v>
      </c>
      <c r="D37" t="s">
        <v>184</v>
      </c>
      <c r="E37" t="s">
        <v>225</v>
      </c>
    </row>
    <row r="39" spans="1:5" ht="18" thickBot="1" x14ac:dyDescent="0.25">
      <c r="A39" s="2" t="s">
        <v>42</v>
      </c>
      <c r="B39" s="2"/>
      <c r="C39" s="2"/>
      <c r="D39" s="2"/>
      <c r="E39" s="2"/>
    </row>
    <row r="40" spans="1:5" ht="17" thickTop="1" thickBot="1" x14ac:dyDescent="0.25">
      <c r="A40" s="4" t="s">
        <v>194</v>
      </c>
      <c r="B40" s="4" t="s">
        <v>13</v>
      </c>
      <c r="C40" s="17"/>
      <c r="D40" s="4"/>
      <c r="E40" s="4"/>
    </row>
    <row r="41" spans="1:5" ht="11" customHeight="1" x14ac:dyDescent="0.15">
      <c r="A41">
        <v>1</v>
      </c>
      <c r="B41" s="28" t="s">
        <v>282</v>
      </c>
      <c r="C41" s="28"/>
      <c r="D41" s="28"/>
      <c r="E41" s="28"/>
    </row>
    <row r="42" spans="1:5" ht="56" customHeight="1" x14ac:dyDescent="0.15">
      <c r="A42">
        <f>A41+1</f>
        <v>2</v>
      </c>
      <c r="B42" s="24" t="s">
        <v>332</v>
      </c>
      <c r="C42" s="24"/>
      <c r="D42" s="24"/>
      <c r="E42" s="24"/>
    </row>
  </sheetData>
  <mergeCells count="4">
    <mergeCell ref="A4:E4"/>
    <mergeCell ref="A7:E7"/>
    <mergeCell ref="B41:E41"/>
    <mergeCell ref="B42:E42"/>
  </mergeCells>
  <pageMargins left="0.45" right="0.45" top="0.25" bottom="0.25" header="0" footer="0"/>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0958-3135-F544-8B71-492A9B7EAB74}">
  <dimension ref="A1:E36"/>
  <sheetViews>
    <sheetView view="pageBreakPreview" zoomScaleNormal="100" zoomScaleSheetLayoutView="100" workbookViewId="0">
      <selection activeCell="A32" sqref="A32"/>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95</v>
      </c>
      <c r="B1" s="1"/>
      <c r="C1" s="1"/>
      <c r="D1" s="1"/>
      <c r="E1" s="1"/>
    </row>
    <row r="2" spans="1:5" ht="12" thickTop="1" x14ac:dyDescent="0.15"/>
    <row r="3" spans="1:5" ht="18" thickBot="1" x14ac:dyDescent="0.25">
      <c r="A3" s="2" t="s">
        <v>8</v>
      </c>
      <c r="B3" s="2"/>
      <c r="C3" s="2"/>
      <c r="D3" s="2"/>
      <c r="E3" s="2"/>
    </row>
    <row r="4" spans="1:5" ht="24" customHeight="1" thickTop="1" x14ac:dyDescent="0.15">
      <c r="A4" s="24" t="s">
        <v>118</v>
      </c>
      <c r="B4" s="24"/>
      <c r="C4" s="24"/>
      <c r="D4" s="24"/>
      <c r="E4" s="24"/>
    </row>
    <row r="6" spans="1:5" ht="18" thickBot="1" x14ac:dyDescent="0.25">
      <c r="A6" s="2" t="s">
        <v>34</v>
      </c>
      <c r="B6" s="2"/>
      <c r="C6" s="2"/>
      <c r="D6" s="2"/>
      <c r="E6" s="2"/>
    </row>
    <row r="7" spans="1:5" ht="49" customHeight="1" thickTop="1" x14ac:dyDescent="0.15">
      <c r="A7" s="24" t="s">
        <v>337</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19" t="s">
        <v>155</v>
      </c>
      <c r="B10" s="4" t="s">
        <v>9</v>
      </c>
      <c r="C10" s="4" t="s">
        <v>10</v>
      </c>
      <c r="D10" s="4" t="s">
        <v>11</v>
      </c>
      <c r="E10" s="4" t="s">
        <v>13</v>
      </c>
    </row>
    <row r="11" spans="1:5" ht="12" x14ac:dyDescent="0.15">
      <c r="A11" t="s">
        <v>392</v>
      </c>
      <c r="B11" t="s">
        <v>128</v>
      </c>
      <c r="C11">
        <v>2</v>
      </c>
      <c r="D11" t="s">
        <v>7</v>
      </c>
      <c r="E11" t="s">
        <v>132</v>
      </c>
    </row>
    <row r="12" spans="1:5" ht="12" x14ac:dyDescent="0.15">
      <c r="A12" t="s">
        <v>392</v>
      </c>
      <c r="B12" t="s">
        <v>129</v>
      </c>
      <c r="C12">
        <v>10</v>
      </c>
      <c r="D12" t="s">
        <v>7</v>
      </c>
      <c r="E12" t="s">
        <v>133</v>
      </c>
    </row>
    <row r="13" spans="1:5" ht="12" x14ac:dyDescent="0.15">
      <c r="A13" t="s">
        <v>392</v>
      </c>
      <c r="B13" t="s">
        <v>131</v>
      </c>
      <c r="C13">
        <v>2</v>
      </c>
      <c r="D13" t="s">
        <v>60</v>
      </c>
      <c r="E13" t="s">
        <v>134</v>
      </c>
    </row>
    <row r="14" spans="1:5" ht="12" x14ac:dyDescent="0.15">
      <c r="A14" t="s">
        <v>392</v>
      </c>
      <c r="B14" t="s">
        <v>244</v>
      </c>
      <c r="C14">
        <v>100</v>
      </c>
      <c r="D14" t="s">
        <v>6</v>
      </c>
    </row>
    <row r="16" spans="1:5" ht="18" thickBot="1" x14ac:dyDescent="0.25">
      <c r="A16" s="2" t="s">
        <v>16</v>
      </c>
      <c r="B16" s="2"/>
      <c r="C16" s="2"/>
      <c r="D16" s="2"/>
      <c r="E16" s="2"/>
    </row>
    <row r="17" spans="1:5" ht="17" thickTop="1" thickBot="1" x14ac:dyDescent="0.25">
      <c r="A17" s="19" t="s">
        <v>194</v>
      </c>
      <c r="B17" s="4" t="s">
        <v>29</v>
      </c>
      <c r="C17" s="4" t="s">
        <v>30</v>
      </c>
      <c r="D17" s="4"/>
      <c r="E17" s="4" t="s">
        <v>8</v>
      </c>
    </row>
    <row r="18" spans="1:5" ht="12" x14ac:dyDescent="0.15">
      <c r="A18">
        <v>1</v>
      </c>
      <c r="B18" t="s">
        <v>125</v>
      </c>
      <c r="C18" t="b">
        <f>Project!C14&gt;=C25</f>
        <v>1</v>
      </c>
      <c r="E18" t="s">
        <v>124</v>
      </c>
    </row>
    <row r="19" spans="1:5" ht="12" x14ac:dyDescent="0.15">
      <c r="A19">
        <f>A18+1</f>
        <v>2</v>
      </c>
      <c r="B19" t="s">
        <v>130</v>
      </c>
      <c r="C19" t="b">
        <f>C24&lt;C11</f>
        <v>1</v>
      </c>
      <c r="E19" t="s">
        <v>81</v>
      </c>
    </row>
    <row r="20" spans="1:5" ht="24" x14ac:dyDescent="0.15">
      <c r="A20">
        <f>A19+1</f>
        <v>3</v>
      </c>
      <c r="B20" t="s">
        <v>135</v>
      </c>
      <c r="C20" s="10" t="b">
        <f>C26&lt;C13</f>
        <v>0</v>
      </c>
      <c r="D20" s="10"/>
      <c r="E20" s="10" t="s">
        <v>136</v>
      </c>
    </row>
    <row r="22" spans="1:5" ht="18" thickBot="1" x14ac:dyDescent="0.25">
      <c r="A22" s="2" t="s">
        <v>12</v>
      </c>
      <c r="B22" s="2"/>
      <c r="C22" s="2"/>
      <c r="D22" s="2"/>
      <c r="E22" s="2"/>
    </row>
    <row r="23" spans="1:5" ht="17" thickTop="1" thickBot="1" x14ac:dyDescent="0.25">
      <c r="A23" s="19" t="s">
        <v>194</v>
      </c>
      <c r="B23" s="4" t="s">
        <v>39</v>
      </c>
      <c r="C23" s="4" t="s">
        <v>35</v>
      </c>
      <c r="D23" s="4" t="s">
        <v>11</v>
      </c>
      <c r="E23" s="4" t="s">
        <v>8</v>
      </c>
    </row>
    <row r="24" spans="1:5" ht="12" x14ac:dyDescent="0.15">
      <c r="A24">
        <v>1</v>
      </c>
      <c r="B24" t="s">
        <v>68</v>
      </c>
      <c r="C24" s="16">
        <f>Project!C8/C14</f>
        <v>0.3</v>
      </c>
      <c r="D24" t="s">
        <v>7</v>
      </c>
      <c r="E24" t="s">
        <v>123</v>
      </c>
    </row>
    <row r="25" spans="1:5" ht="12" x14ac:dyDescent="0.15">
      <c r="A25">
        <f>A24+1</f>
        <v>2</v>
      </c>
      <c r="B25" t="s">
        <v>119</v>
      </c>
      <c r="C25" s="16">
        <f>Project!C9/C14</f>
        <v>0.06</v>
      </c>
      <c r="D25" t="s">
        <v>7</v>
      </c>
      <c r="E25" t="s">
        <v>122</v>
      </c>
    </row>
    <row r="26" spans="1:5" ht="12" x14ac:dyDescent="0.15">
      <c r="A26">
        <f>A25+1</f>
        <v>3</v>
      </c>
      <c r="B26" t="s">
        <v>126</v>
      </c>
      <c r="C26" s="18">
        <f>Project!C8*C24</f>
        <v>9</v>
      </c>
      <c r="D26" t="s">
        <v>60</v>
      </c>
      <c r="E26" t="s">
        <v>245</v>
      </c>
    </row>
    <row r="27" spans="1:5" ht="12" x14ac:dyDescent="0.15">
      <c r="A27">
        <f>A26+1</f>
        <v>4</v>
      </c>
      <c r="B27" t="s">
        <v>127</v>
      </c>
      <c r="C27">
        <f>Project!C9*C25</f>
        <v>0.36</v>
      </c>
      <c r="D27" t="s">
        <v>60</v>
      </c>
      <c r="E27" t="s">
        <v>246</v>
      </c>
    </row>
    <row r="28" spans="1:5" ht="24" x14ac:dyDescent="0.15">
      <c r="A28">
        <f>A27+1</f>
        <v>5</v>
      </c>
      <c r="B28" t="s">
        <v>250</v>
      </c>
      <c r="C28" s="16">
        <f>SQRT(C13*C14)</f>
        <v>14.142135623730951</v>
      </c>
      <c r="D28" t="s">
        <v>5</v>
      </c>
      <c r="E28" t="s">
        <v>249</v>
      </c>
    </row>
    <row r="30" spans="1:5" ht="18" thickBot="1" x14ac:dyDescent="0.25">
      <c r="A30" s="2" t="s">
        <v>38</v>
      </c>
      <c r="B30" s="2"/>
      <c r="C30" s="2"/>
      <c r="D30" s="2"/>
      <c r="E30" s="2"/>
    </row>
    <row r="31" spans="1:5" ht="17" thickTop="1" thickBot="1" x14ac:dyDescent="0.25">
      <c r="A31" s="4" t="s">
        <v>155</v>
      </c>
      <c r="B31" s="4" t="s">
        <v>52</v>
      </c>
      <c r="C31" s="4" t="s">
        <v>182</v>
      </c>
      <c r="D31" s="4" t="s">
        <v>183</v>
      </c>
      <c r="E31" s="4" t="s">
        <v>205</v>
      </c>
    </row>
    <row r="32" spans="1:5" ht="12" x14ac:dyDescent="0.15">
      <c r="A32" t="s">
        <v>392</v>
      </c>
      <c r="B32" t="s">
        <v>248</v>
      </c>
      <c r="C32">
        <v>2512</v>
      </c>
      <c r="D32" t="s">
        <v>209</v>
      </c>
      <c r="E32" t="s">
        <v>247</v>
      </c>
    </row>
    <row r="34" spans="1:5" ht="18" thickBot="1" x14ac:dyDescent="0.25">
      <c r="A34" s="2" t="s">
        <v>42</v>
      </c>
      <c r="B34" s="2"/>
      <c r="C34" s="2"/>
      <c r="D34" s="2"/>
      <c r="E34" s="2"/>
    </row>
    <row r="35" spans="1:5" ht="17" thickTop="1" thickBot="1" x14ac:dyDescent="0.25">
      <c r="A35" s="4" t="s">
        <v>194</v>
      </c>
      <c r="B35" s="17"/>
      <c r="C35" s="17"/>
      <c r="D35" s="17"/>
      <c r="E35" s="17"/>
    </row>
    <row r="36" spans="1:5" ht="62" customHeight="1" x14ac:dyDescent="0.15">
      <c r="A36">
        <v>1</v>
      </c>
      <c r="B36" s="29" t="s">
        <v>251</v>
      </c>
      <c r="C36" s="29"/>
      <c r="D36" s="29"/>
      <c r="E36" s="29"/>
    </row>
  </sheetData>
  <mergeCells count="3">
    <mergeCell ref="B36:E36"/>
    <mergeCell ref="A4:E4"/>
    <mergeCell ref="A7:E7"/>
  </mergeCells>
  <pageMargins left="0.45" right="0.45" top="0.25" bottom="0.25" header="0" footer="0"/>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BA66-A2E4-5B45-9BD4-8D39D01F419A}">
  <dimension ref="A1:E86"/>
  <sheetViews>
    <sheetView view="pageBreakPreview" topLeftCell="A45" zoomScaleNormal="100" zoomScaleSheetLayoutView="100" workbookViewId="0">
      <selection activeCell="B81" sqref="B81"/>
    </sheetView>
  </sheetViews>
  <sheetFormatPr baseColWidth="10" defaultRowHeight="11" x14ac:dyDescent="0.15"/>
  <cols>
    <col min="1" max="1" width="11" customWidth="1"/>
    <col min="2" max="2" width="25.796875" customWidth="1"/>
    <col min="3" max="3" width="13" customWidth="1"/>
    <col min="4" max="4" width="8" customWidth="1"/>
    <col min="5" max="5" width="51" customWidth="1"/>
  </cols>
  <sheetData>
    <row r="1" spans="1:5" ht="21" thickBot="1" x14ac:dyDescent="0.3">
      <c r="A1" s="1" t="s">
        <v>255</v>
      </c>
      <c r="B1" s="1"/>
      <c r="C1" s="1"/>
      <c r="D1" s="1"/>
      <c r="E1" s="1"/>
    </row>
    <row r="2" spans="1:5" ht="12" thickTop="1" x14ac:dyDescent="0.15"/>
    <row r="3" spans="1:5" ht="18" thickBot="1" x14ac:dyDescent="0.25">
      <c r="A3" s="2" t="s">
        <v>8</v>
      </c>
      <c r="B3" s="2"/>
      <c r="C3" s="2"/>
      <c r="D3" s="2"/>
      <c r="E3" s="2"/>
    </row>
    <row r="4" spans="1:5" ht="24" customHeight="1" thickTop="1" x14ac:dyDescent="0.15">
      <c r="A4" s="24" t="s">
        <v>418</v>
      </c>
      <c r="B4" s="24"/>
      <c r="C4" s="24"/>
      <c r="D4" s="24"/>
      <c r="E4" s="24"/>
    </row>
    <row r="5" spans="1:5" ht="12" customHeight="1" x14ac:dyDescent="0.15">
      <c r="A5" s="24" t="s">
        <v>419</v>
      </c>
      <c r="B5" s="24"/>
      <c r="C5" s="24"/>
      <c r="D5" s="24"/>
      <c r="E5" s="24"/>
    </row>
    <row r="6" spans="1:5" ht="12" customHeight="1" x14ac:dyDescent="0.15">
      <c r="A6" s="24" t="s">
        <v>406</v>
      </c>
      <c r="B6" s="24"/>
      <c r="C6" s="24"/>
      <c r="D6" s="24"/>
      <c r="E6" s="24"/>
    </row>
    <row r="8" spans="1:5" ht="18" thickBot="1" x14ac:dyDescent="0.25">
      <c r="A8" s="2" t="s">
        <v>34</v>
      </c>
      <c r="B8" s="2"/>
      <c r="C8" s="2"/>
      <c r="D8" s="2"/>
      <c r="E8" s="2"/>
    </row>
    <row r="9" spans="1:5" ht="36" customHeight="1" thickTop="1" x14ac:dyDescent="0.15">
      <c r="A9" s="24" t="s">
        <v>386</v>
      </c>
      <c r="B9" s="24"/>
      <c r="C9" s="24"/>
      <c r="D9" s="24"/>
      <c r="E9" s="24"/>
    </row>
    <row r="10" spans="1:5" ht="60" customHeight="1" x14ac:dyDescent="0.15">
      <c r="A10" s="24" t="s">
        <v>388</v>
      </c>
      <c r="B10" s="24"/>
      <c r="C10" s="24"/>
      <c r="D10" s="24"/>
      <c r="E10" s="24"/>
    </row>
    <row r="11" spans="1:5" ht="71" customHeight="1" x14ac:dyDescent="0.15">
      <c r="A11" s="24" t="s">
        <v>391</v>
      </c>
      <c r="B11" s="24"/>
      <c r="C11" s="24"/>
      <c r="D11" s="24"/>
      <c r="E11" s="24"/>
    </row>
    <row r="12" spans="1:5" ht="92" customHeight="1" x14ac:dyDescent="0.15">
      <c r="A12" s="26" t="s">
        <v>393</v>
      </c>
      <c r="B12" s="26"/>
      <c r="C12" s="26"/>
      <c r="D12" s="26"/>
      <c r="E12" s="26"/>
    </row>
    <row r="13" spans="1:5" ht="24" customHeight="1" x14ac:dyDescent="0.15">
      <c r="A13" s="24" t="s">
        <v>387</v>
      </c>
      <c r="B13" s="24"/>
      <c r="C13" s="24"/>
      <c r="D13" s="24"/>
      <c r="E13" s="24"/>
    </row>
    <row r="14" spans="1:5" x14ac:dyDescent="0.15">
      <c r="B14" s="7"/>
      <c r="C14" s="7"/>
      <c r="D14" s="7"/>
      <c r="E14" s="7"/>
    </row>
    <row r="15" spans="1:5" ht="18" thickBot="1" x14ac:dyDescent="0.25">
      <c r="A15" s="2" t="s">
        <v>0</v>
      </c>
      <c r="B15" s="2"/>
      <c r="C15" s="2"/>
      <c r="D15" s="2"/>
      <c r="E15" s="2"/>
    </row>
    <row r="16" spans="1:5" ht="17" thickTop="1" thickBot="1" x14ac:dyDescent="0.25">
      <c r="A16" s="4" t="s">
        <v>155</v>
      </c>
      <c r="B16" s="4" t="s">
        <v>9</v>
      </c>
      <c r="C16" s="4" t="s">
        <v>10</v>
      </c>
      <c r="D16" s="4" t="s">
        <v>11</v>
      </c>
      <c r="E16" s="4" t="s">
        <v>13</v>
      </c>
    </row>
    <row r="17" spans="1:5" ht="12" x14ac:dyDescent="0.15">
      <c r="A17" t="s">
        <v>313</v>
      </c>
      <c r="B17" t="s">
        <v>314</v>
      </c>
      <c r="C17" s="12">
        <v>1.0000000000000001E-5</v>
      </c>
      <c r="D17" t="s">
        <v>89</v>
      </c>
      <c r="E17" t="s">
        <v>315</v>
      </c>
    </row>
    <row r="18" spans="1:5" ht="12" x14ac:dyDescent="0.15">
      <c r="A18" t="s">
        <v>253</v>
      </c>
      <c r="B18" t="s">
        <v>2</v>
      </c>
      <c r="C18">
        <v>-40</v>
      </c>
      <c r="D18" t="s">
        <v>5</v>
      </c>
      <c r="E18" t="s">
        <v>333</v>
      </c>
    </row>
    <row r="19" spans="1:5" ht="12" x14ac:dyDescent="0.15">
      <c r="A19" t="s">
        <v>253</v>
      </c>
      <c r="B19" t="s">
        <v>364</v>
      </c>
      <c r="C19">
        <v>-20</v>
      </c>
      <c r="D19" t="s">
        <v>5</v>
      </c>
    </row>
    <row r="20" spans="1:5" ht="12" x14ac:dyDescent="0.15">
      <c r="A20" t="s">
        <v>253</v>
      </c>
      <c r="B20" t="s">
        <v>14</v>
      </c>
      <c r="C20">
        <v>-2.5</v>
      </c>
      <c r="D20" t="s">
        <v>5</v>
      </c>
    </row>
    <row r="21" spans="1:5" ht="12" x14ac:dyDescent="0.15">
      <c r="A21" t="s">
        <v>253</v>
      </c>
      <c r="B21" t="s">
        <v>3</v>
      </c>
      <c r="C21" s="16">
        <v>0.24</v>
      </c>
      <c r="D21" t="s">
        <v>6</v>
      </c>
      <c r="E21" t="s">
        <v>74</v>
      </c>
    </row>
    <row r="22" spans="1:5" ht="12" x14ac:dyDescent="0.15">
      <c r="A22" t="s">
        <v>253</v>
      </c>
      <c r="B22" t="s">
        <v>4</v>
      </c>
      <c r="C22">
        <v>-1.5</v>
      </c>
      <c r="D22" t="s">
        <v>7</v>
      </c>
    </row>
    <row r="23" spans="1:5" ht="12" x14ac:dyDescent="0.15">
      <c r="A23" t="s">
        <v>254</v>
      </c>
      <c r="B23" t="s">
        <v>77</v>
      </c>
      <c r="C23">
        <v>50</v>
      </c>
      <c r="D23" t="s">
        <v>5</v>
      </c>
      <c r="E23" t="s">
        <v>334</v>
      </c>
    </row>
    <row r="24" spans="1:5" ht="12" x14ac:dyDescent="0.15">
      <c r="A24" t="s">
        <v>254</v>
      </c>
      <c r="B24" t="s">
        <v>79</v>
      </c>
      <c r="C24">
        <v>1.3</v>
      </c>
      <c r="D24" t="s">
        <v>5</v>
      </c>
      <c r="E24" t="s">
        <v>74</v>
      </c>
    </row>
    <row r="25" spans="1:5" ht="12" x14ac:dyDescent="0.15">
      <c r="A25" t="s">
        <v>254</v>
      </c>
      <c r="B25" t="s">
        <v>80</v>
      </c>
      <c r="C25">
        <v>1.8E-3</v>
      </c>
      <c r="D25" t="s">
        <v>7</v>
      </c>
      <c r="E25" t="s">
        <v>74</v>
      </c>
    </row>
    <row r="26" spans="1:5" ht="12" x14ac:dyDescent="0.15">
      <c r="A26" t="s">
        <v>254</v>
      </c>
      <c r="B26" t="s">
        <v>78</v>
      </c>
      <c r="C26">
        <v>0.1</v>
      </c>
      <c r="D26" t="s">
        <v>7</v>
      </c>
    </row>
    <row r="27" spans="1:5" ht="12" x14ac:dyDescent="0.15">
      <c r="A27" t="s">
        <v>252</v>
      </c>
      <c r="B27" t="s">
        <v>2</v>
      </c>
      <c r="C27">
        <v>60</v>
      </c>
      <c r="D27" t="s">
        <v>5</v>
      </c>
      <c r="E27" t="s">
        <v>335</v>
      </c>
    </row>
    <row r="28" spans="1:5" ht="12" x14ac:dyDescent="0.15">
      <c r="A28" t="s">
        <v>252</v>
      </c>
      <c r="B28" t="s">
        <v>364</v>
      </c>
      <c r="C28">
        <v>20</v>
      </c>
      <c r="D28" t="s">
        <v>5</v>
      </c>
    </row>
    <row r="29" spans="1:5" ht="12" x14ac:dyDescent="0.15">
      <c r="A29" t="s">
        <v>252</v>
      </c>
      <c r="B29" t="s">
        <v>14</v>
      </c>
      <c r="C29">
        <v>2.7</v>
      </c>
      <c r="D29" t="s">
        <v>5</v>
      </c>
    </row>
    <row r="30" spans="1:5" ht="12" x14ac:dyDescent="0.15">
      <c r="A30" t="s">
        <v>252</v>
      </c>
      <c r="B30" t="s">
        <v>3</v>
      </c>
      <c r="C30" s="16">
        <v>0.06</v>
      </c>
      <c r="D30" t="s">
        <v>6</v>
      </c>
      <c r="E30" t="s">
        <v>74</v>
      </c>
    </row>
    <row r="31" spans="1:5" ht="12" x14ac:dyDescent="0.15">
      <c r="A31" t="s">
        <v>252</v>
      </c>
      <c r="B31" t="s">
        <v>4</v>
      </c>
      <c r="C31">
        <v>3.1</v>
      </c>
      <c r="D31" t="s">
        <v>7</v>
      </c>
    </row>
    <row r="32" spans="1:5" ht="12" x14ac:dyDescent="0.15">
      <c r="A32" t="s">
        <v>252</v>
      </c>
      <c r="B32" t="s">
        <v>15</v>
      </c>
      <c r="C32">
        <v>8</v>
      </c>
      <c r="D32" t="s">
        <v>6</v>
      </c>
      <c r="E32" t="s">
        <v>25</v>
      </c>
    </row>
    <row r="33" spans="1:5" ht="12" x14ac:dyDescent="0.15">
      <c r="A33" t="s">
        <v>256</v>
      </c>
      <c r="B33" t="s">
        <v>259</v>
      </c>
      <c r="C33">
        <v>10000</v>
      </c>
      <c r="D33" t="s">
        <v>6</v>
      </c>
      <c r="E33" t="s">
        <v>368</v>
      </c>
    </row>
    <row r="34" spans="1:5" ht="12" x14ac:dyDescent="0.15">
      <c r="A34" t="s">
        <v>257</v>
      </c>
      <c r="B34" t="s">
        <v>260</v>
      </c>
      <c r="C34">
        <v>10000</v>
      </c>
      <c r="D34" t="s">
        <v>6</v>
      </c>
      <c r="E34" t="s">
        <v>369</v>
      </c>
    </row>
    <row r="35" spans="1:5" ht="12" x14ac:dyDescent="0.15">
      <c r="A35" t="s">
        <v>258</v>
      </c>
      <c r="B35" t="s">
        <v>261</v>
      </c>
      <c r="C35">
        <v>330</v>
      </c>
      <c r="D35" t="s">
        <v>6</v>
      </c>
      <c r="E35" t="s">
        <v>433</v>
      </c>
    </row>
    <row r="36" spans="1:5" ht="12" x14ac:dyDescent="0.15">
      <c r="A36" t="s">
        <v>377</v>
      </c>
      <c r="B36" t="s">
        <v>262</v>
      </c>
      <c r="C36">
        <v>22000</v>
      </c>
      <c r="D36" t="s">
        <v>6</v>
      </c>
      <c r="E36" t="s">
        <v>336</v>
      </c>
    </row>
    <row r="37" spans="1:5" ht="12" x14ac:dyDescent="0.15">
      <c r="A37" t="s">
        <v>378</v>
      </c>
      <c r="B37" t="s">
        <v>379</v>
      </c>
      <c r="C37">
        <v>3000</v>
      </c>
      <c r="D37" t="s">
        <v>6</v>
      </c>
      <c r="E37" t="s">
        <v>336</v>
      </c>
    </row>
    <row r="39" spans="1:5" ht="18" thickBot="1" x14ac:dyDescent="0.25">
      <c r="A39" s="2" t="s">
        <v>16</v>
      </c>
      <c r="B39" s="2"/>
      <c r="C39" s="2"/>
      <c r="D39" s="2"/>
      <c r="E39" s="2"/>
    </row>
    <row r="40" spans="1:5" ht="17" thickTop="1" thickBot="1" x14ac:dyDescent="0.25">
      <c r="A40" s="4" t="s">
        <v>194</v>
      </c>
      <c r="B40" s="4" t="s">
        <v>29</v>
      </c>
      <c r="C40" s="4" t="s">
        <v>30</v>
      </c>
      <c r="D40" s="4"/>
      <c r="E40" s="4" t="s">
        <v>8</v>
      </c>
    </row>
    <row r="41" spans="1:5" ht="12" x14ac:dyDescent="0.15">
      <c r="A41">
        <v>1</v>
      </c>
      <c r="B41" t="s">
        <v>361</v>
      </c>
      <c r="C41" t="b">
        <f>C18&lt;-1*Project!C8</f>
        <v>1</v>
      </c>
      <c r="E41" t="s">
        <v>304</v>
      </c>
    </row>
    <row r="42" spans="1:5" ht="36" x14ac:dyDescent="0.15">
      <c r="A42">
        <f t="shared" ref="A42:A55" si="0">A41+1</f>
        <v>2</v>
      </c>
      <c r="B42" t="s">
        <v>385</v>
      </c>
      <c r="C42" t="b">
        <f>C20&gt;-1*C62</f>
        <v>1</v>
      </c>
      <c r="E42" t="s">
        <v>298</v>
      </c>
    </row>
    <row r="43" spans="1:5" ht="24" x14ac:dyDescent="0.15">
      <c r="A43">
        <f t="shared" si="0"/>
        <v>3</v>
      </c>
      <c r="B43" t="s">
        <v>384</v>
      </c>
      <c r="C43" t="b">
        <f>C19&lt;-1*C61</f>
        <v>1</v>
      </c>
      <c r="E43" t="s">
        <v>362</v>
      </c>
    </row>
    <row r="44" spans="1:5" ht="12" x14ac:dyDescent="0.15">
      <c r="A44">
        <f>A43+1</f>
        <v>4</v>
      </c>
      <c r="B44" t="s">
        <v>299</v>
      </c>
      <c r="C44" t="b">
        <f>-1*C22&gt;Project!C13</f>
        <v>1</v>
      </c>
      <c r="E44" t="s">
        <v>33</v>
      </c>
    </row>
    <row r="45" spans="1:5" ht="24" x14ac:dyDescent="0.15">
      <c r="A45">
        <f t="shared" si="0"/>
        <v>5</v>
      </c>
      <c r="B45" t="s">
        <v>300</v>
      </c>
      <c r="C45" t="b">
        <f>C23&gt;Project!C8</f>
        <v>1</v>
      </c>
      <c r="E45" t="s">
        <v>303</v>
      </c>
    </row>
    <row r="46" spans="1:5" ht="24" x14ac:dyDescent="0.15">
      <c r="A46">
        <f t="shared" si="0"/>
        <v>6</v>
      </c>
      <c r="B46" t="s">
        <v>372</v>
      </c>
      <c r="C46" t="b">
        <f>C26&gt;C65</f>
        <v>1</v>
      </c>
      <c r="E46" t="s">
        <v>305</v>
      </c>
    </row>
    <row r="47" spans="1:5" ht="12" x14ac:dyDescent="0.15">
      <c r="A47">
        <f t="shared" si="0"/>
        <v>7</v>
      </c>
      <c r="B47" t="s">
        <v>302</v>
      </c>
      <c r="C47" t="b">
        <f>C67&lt;'2x Processor'!C16</f>
        <v>1</v>
      </c>
      <c r="E47" t="s">
        <v>306</v>
      </c>
    </row>
    <row r="48" spans="1:5" ht="12" x14ac:dyDescent="0.15">
      <c r="A48">
        <f t="shared" si="0"/>
        <v>8</v>
      </c>
      <c r="B48" t="s">
        <v>395</v>
      </c>
      <c r="C48" t="b">
        <f>C66&lt;(1/16)</f>
        <v>1</v>
      </c>
      <c r="E48" t="s">
        <v>396</v>
      </c>
    </row>
    <row r="49" spans="1:5" ht="12" x14ac:dyDescent="0.15">
      <c r="A49">
        <f t="shared" si="0"/>
        <v>9</v>
      </c>
      <c r="B49" t="s">
        <v>265</v>
      </c>
      <c r="C49" t="b">
        <f>C27&gt;Project!C8</f>
        <v>1</v>
      </c>
      <c r="E49" t="s">
        <v>304</v>
      </c>
    </row>
    <row r="50" spans="1:5" ht="12" x14ac:dyDescent="0.15">
      <c r="A50">
        <f t="shared" si="0"/>
        <v>10</v>
      </c>
      <c r="B50" t="s">
        <v>363</v>
      </c>
      <c r="C50" t="b">
        <f>C29&lt;Project!C11</f>
        <v>1</v>
      </c>
      <c r="E50" t="s">
        <v>32</v>
      </c>
    </row>
    <row r="51" spans="1:5" ht="12" x14ac:dyDescent="0.15">
      <c r="A51">
        <f t="shared" si="0"/>
        <v>11</v>
      </c>
      <c r="B51" t="s">
        <v>365</v>
      </c>
      <c r="C51" t="b">
        <f>C28&gt;Project!C11</f>
        <v>1</v>
      </c>
      <c r="E51" t="s">
        <v>373</v>
      </c>
    </row>
    <row r="52" spans="1:5" ht="12" x14ac:dyDescent="0.15">
      <c r="A52">
        <f t="shared" si="0"/>
        <v>12</v>
      </c>
      <c r="B52" t="s">
        <v>267</v>
      </c>
      <c r="C52" t="b">
        <f>C31&gt;Project!C13</f>
        <v>1</v>
      </c>
      <c r="E52" t="s">
        <v>33</v>
      </c>
    </row>
    <row r="53" spans="1:5" ht="24" x14ac:dyDescent="0.15">
      <c r="A53">
        <f t="shared" si="0"/>
        <v>13</v>
      </c>
      <c r="B53" t="s">
        <v>266</v>
      </c>
      <c r="C53" t="b">
        <f>C64&lt;'2x Processor'!C16</f>
        <v>1</v>
      </c>
      <c r="E53" t="s">
        <v>44</v>
      </c>
    </row>
    <row r="54" spans="1:5" ht="24" x14ac:dyDescent="0.15">
      <c r="A54">
        <f t="shared" si="0"/>
        <v>14</v>
      </c>
      <c r="B54" t="s">
        <v>308</v>
      </c>
      <c r="C54" t="b">
        <f>C69&lt;Project!C11</f>
        <v>1</v>
      </c>
      <c r="E54" t="s">
        <v>312</v>
      </c>
    </row>
    <row r="55" spans="1:5" ht="12" x14ac:dyDescent="0.15">
      <c r="A55">
        <f t="shared" si="0"/>
        <v>15</v>
      </c>
      <c r="B55" t="s">
        <v>417</v>
      </c>
      <c r="C55" t="b">
        <f>C70&lt;1/16</f>
        <v>1</v>
      </c>
      <c r="E55" t="s">
        <v>396</v>
      </c>
    </row>
    <row r="57" spans="1:5" ht="18" thickBot="1" x14ac:dyDescent="0.25">
      <c r="A57" s="2" t="s">
        <v>12</v>
      </c>
      <c r="B57" s="2"/>
      <c r="C57" s="2"/>
      <c r="D57" s="2"/>
      <c r="E57" s="2"/>
    </row>
    <row r="58" spans="1:5" ht="17" thickTop="1" thickBot="1" x14ac:dyDescent="0.25">
      <c r="A58" s="4" t="s">
        <v>194</v>
      </c>
      <c r="B58" s="4" t="s">
        <v>39</v>
      </c>
      <c r="C58" s="4" t="s">
        <v>35</v>
      </c>
      <c r="D58" s="4" t="s">
        <v>11</v>
      </c>
      <c r="E58" s="4" t="s">
        <v>8</v>
      </c>
    </row>
    <row r="59" spans="1:5" ht="24" x14ac:dyDescent="0.15">
      <c r="A59">
        <v>1</v>
      </c>
      <c r="B59" t="s">
        <v>366</v>
      </c>
      <c r="C59">
        <f>(Project!C8*C34)/(C33+C34)</f>
        <v>15</v>
      </c>
      <c r="D59" t="s">
        <v>5</v>
      </c>
      <c r="E59" t="s">
        <v>370</v>
      </c>
    </row>
    <row r="60" spans="1:5" ht="24" x14ac:dyDescent="0.15">
      <c r="A60">
        <f t="shared" ref="A60:A70" si="1">A59+1</f>
        <v>2</v>
      </c>
      <c r="B60" t="s">
        <v>367</v>
      </c>
      <c r="C60">
        <f>(Project!C9*C34)/(C33+C34)</f>
        <v>3</v>
      </c>
      <c r="D60" t="s">
        <v>5</v>
      </c>
      <c r="E60" t="s">
        <v>370</v>
      </c>
    </row>
    <row r="61" spans="1:5" ht="12" x14ac:dyDescent="0.15">
      <c r="B61" t="s">
        <v>382</v>
      </c>
      <c r="C61">
        <f>Project!C8-C59</f>
        <v>15</v>
      </c>
      <c r="D61" t="s">
        <v>5</v>
      </c>
      <c r="E61" t="s">
        <v>380</v>
      </c>
    </row>
    <row r="62" spans="1:5" ht="12" x14ac:dyDescent="0.15">
      <c r="B62" t="s">
        <v>383</v>
      </c>
      <c r="C62">
        <f>Project!C9-C60</f>
        <v>3</v>
      </c>
      <c r="D62" t="s">
        <v>5</v>
      </c>
      <c r="E62" t="s">
        <v>381</v>
      </c>
    </row>
    <row r="63" spans="1:5" ht="12" x14ac:dyDescent="0.15">
      <c r="A63">
        <f>A60+1</f>
        <v>3</v>
      </c>
      <c r="B63" t="s">
        <v>268</v>
      </c>
      <c r="C63">
        <f>Project!C11/'2x Processor'!C16</f>
        <v>131.99999999999997</v>
      </c>
      <c r="D63" t="s">
        <v>6</v>
      </c>
      <c r="E63" t="s">
        <v>37</v>
      </c>
    </row>
    <row r="64" spans="1:5" ht="12" x14ac:dyDescent="0.15">
      <c r="A64">
        <f t="shared" si="1"/>
        <v>4</v>
      </c>
      <c r="B64" t="s">
        <v>269</v>
      </c>
      <c r="C64" s="16">
        <f>Project!C11/C35</f>
        <v>0.01</v>
      </c>
      <c r="D64" t="s">
        <v>7</v>
      </c>
      <c r="E64" t="s">
        <v>41</v>
      </c>
    </row>
    <row r="65" spans="1:5" ht="12" x14ac:dyDescent="0.15">
      <c r="A65">
        <f t="shared" si="1"/>
        <v>5</v>
      </c>
      <c r="B65" t="s">
        <v>371</v>
      </c>
      <c r="C65" s="16">
        <f>Project!C8/(C33+C34)</f>
        <v>1.5E-3</v>
      </c>
      <c r="D65" t="s">
        <v>7</v>
      </c>
      <c r="E65" t="s">
        <v>375</v>
      </c>
    </row>
    <row r="66" spans="1:5" ht="12" x14ac:dyDescent="0.15">
      <c r="A66">
        <f t="shared" si="1"/>
        <v>6</v>
      </c>
      <c r="B66" t="s">
        <v>374</v>
      </c>
      <c r="C66" s="16">
        <f>Project!C8*C65</f>
        <v>4.4999999999999998E-2</v>
      </c>
      <c r="D66" t="s">
        <v>60</v>
      </c>
      <c r="E66" t="s">
        <v>376</v>
      </c>
    </row>
    <row r="67" spans="1:5" ht="12" x14ac:dyDescent="0.15">
      <c r="A67">
        <f t="shared" si="1"/>
        <v>7</v>
      </c>
      <c r="B67" t="s">
        <v>301</v>
      </c>
      <c r="C67" s="12">
        <f>Project!C11/(4700 + (47000*C34/(47000+C34)))</f>
        <v>2.5491258978181322E-4</v>
      </c>
      <c r="D67" t="s">
        <v>7</v>
      </c>
      <c r="E67" t="s">
        <v>311</v>
      </c>
    </row>
    <row r="68" spans="1:5" ht="24" x14ac:dyDescent="0.15">
      <c r="A68">
        <f t="shared" si="1"/>
        <v>8</v>
      </c>
      <c r="B68" t="s">
        <v>309</v>
      </c>
      <c r="C68" s="20">
        <f>C36*C37/(C36+C37)</f>
        <v>2640</v>
      </c>
      <c r="D68" t="s">
        <v>6</v>
      </c>
      <c r="E68" t="s">
        <v>415</v>
      </c>
    </row>
    <row r="69" spans="1:5" ht="24" x14ac:dyDescent="0.15">
      <c r="A69">
        <f t="shared" si="1"/>
        <v>9</v>
      </c>
      <c r="B69" t="s">
        <v>307</v>
      </c>
      <c r="C69" s="21">
        <f>(Project!C8*C68)/(C36+C68)</f>
        <v>3.2142857142857144</v>
      </c>
      <c r="D69" t="s">
        <v>5</v>
      </c>
      <c r="E69" t="s">
        <v>310</v>
      </c>
    </row>
    <row r="70" spans="1:5" ht="12" x14ac:dyDescent="0.15">
      <c r="A70">
        <f t="shared" si="1"/>
        <v>10</v>
      </c>
      <c r="B70" t="s">
        <v>416</v>
      </c>
      <c r="C70" s="16">
        <f>Project!C8^2/(C68+C36)</f>
        <v>3.6525974025974024E-2</v>
      </c>
      <c r="D70" t="s">
        <v>60</v>
      </c>
    </row>
    <row r="72" spans="1:5" ht="18" thickBot="1" x14ac:dyDescent="0.25">
      <c r="A72" s="2" t="s">
        <v>38</v>
      </c>
      <c r="B72" s="2"/>
      <c r="C72" s="2"/>
      <c r="D72" s="2"/>
      <c r="E72" s="2"/>
    </row>
    <row r="73" spans="1:5" ht="17" thickTop="1" thickBot="1" x14ac:dyDescent="0.25">
      <c r="A73" s="4" t="s">
        <v>155</v>
      </c>
      <c r="B73" s="4" t="s">
        <v>52</v>
      </c>
      <c r="C73" s="4" t="s">
        <v>182</v>
      </c>
      <c r="D73" s="4" t="s">
        <v>183</v>
      </c>
      <c r="E73" s="4" t="s">
        <v>205</v>
      </c>
    </row>
    <row r="74" spans="1:5" ht="12" x14ac:dyDescent="0.15">
      <c r="A74" t="s">
        <v>313</v>
      </c>
      <c r="B74" t="s">
        <v>316</v>
      </c>
      <c r="C74" s="13" t="s">
        <v>207</v>
      </c>
      <c r="D74" t="s">
        <v>184</v>
      </c>
      <c r="E74" t="s">
        <v>225</v>
      </c>
    </row>
    <row r="75" spans="1:5" ht="12" x14ac:dyDescent="0.15">
      <c r="A75" t="s">
        <v>253</v>
      </c>
      <c r="B75" t="s">
        <v>405</v>
      </c>
      <c r="C75" t="s">
        <v>1</v>
      </c>
      <c r="D75" t="s">
        <v>209</v>
      </c>
      <c r="E75" t="s">
        <v>404</v>
      </c>
    </row>
    <row r="76" spans="1:5" ht="24" x14ac:dyDescent="0.15">
      <c r="A76" t="s">
        <v>254</v>
      </c>
      <c r="B76" t="s">
        <v>263</v>
      </c>
      <c r="C76" t="s">
        <v>1</v>
      </c>
      <c r="D76" t="s">
        <v>209</v>
      </c>
      <c r="E76" t="s">
        <v>76</v>
      </c>
    </row>
    <row r="77" spans="1:5" ht="12" x14ac:dyDescent="0.15">
      <c r="A77" t="s">
        <v>252</v>
      </c>
      <c r="B77" t="s">
        <v>264</v>
      </c>
      <c r="C77" t="s">
        <v>1</v>
      </c>
      <c r="D77" t="s">
        <v>209</v>
      </c>
      <c r="E77" t="s">
        <v>73</v>
      </c>
    </row>
    <row r="78" spans="1:5" ht="12" x14ac:dyDescent="0.15">
      <c r="A78" t="s">
        <v>256</v>
      </c>
      <c r="B78" t="s">
        <v>283</v>
      </c>
      <c r="C78" s="13" t="s">
        <v>207</v>
      </c>
      <c r="D78" t="s">
        <v>184</v>
      </c>
      <c r="E78" t="s">
        <v>225</v>
      </c>
    </row>
    <row r="79" spans="1:5" ht="12" x14ac:dyDescent="0.15">
      <c r="A79" t="s">
        <v>257</v>
      </c>
      <c r="B79" t="s">
        <v>283</v>
      </c>
      <c r="C79" s="13" t="s">
        <v>207</v>
      </c>
      <c r="D79" t="s">
        <v>184</v>
      </c>
      <c r="E79" t="s">
        <v>225</v>
      </c>
    </row>
    <row r="80" spans="1:5" ht="12" x14ac:dyDescent="0.15">
      <c r="A80" t="s">
        <v>258</v>
      </c>
      <c r="B80" s="22" t="s">
        <v>434</v>
      </c>
      <c r="C80" s="13" t="s">
        <v>207</v>
      </c>
      <c r="D80" t="s">
        <v>184</v>
      </c>
      <c r="E80" t="s">
        <v>225</v>
      </c>
    </row>
    <row r="81" spans="1:5" ht="12" x14ac:dyDescent="0.15">
      <c r="A81" t="s">
        <v>377</v>
      </c>
      <c r="B81" t="s">
        <v>435</v>
      </c>
      <c r="C81" s="13" t="s">
        <v>207</v>
      </c>
      <c r="D81" t="s">
        <v>184</v>
      </c>
      <c r="E81" t="s">
        <v>225</v>
      </c>
    </row>
    <row r="82" spans="1:5" ht="12" x14ac:dyDescent="0.15">
      <c r="A82" t="s">
        <v>378</v>
      </c>
      <c r="B82" t="s">
        <v>401</v>
      </c>
      <c r="C82" s="13" t="s">
        <v>207</v>
      </c>
      <c r="D82" t="s">
        <v>184</v>
      </c>
      <c r="E82" t="s">
        <v>225</v>
      </c>
    </row>
    <row r="84" spans="1:5" ht="18" thickBot="1" x14ac:dyDescent="0.25">
      <c r="A84" s="2" t="s">
        <v>42</v>
      </c>
      <c r="B84" s="2"/>
      <c r="C84" s="2"/>
      <c r="D84" s="2"/>
      <c r="E84" s="2"/>
    </row>
    <row r="85" spans="1:5" ht="17" thickTop="1" thickBot="1" x14ac:dyDescent="0.25">
      <c r="A85" s="4" t="s">
        <v>194</v>
      </c>
      <c r="B85" s="4" t="s">
        <v>13</v>
      </c>
      <c r="C85" s="17"/>
      <c r="D85" s="4"/>
      <c r="E85" s="4"/>
    </row>
    <row r="86" spans="1:5" x14ac:dyDescent="0.15">
      <c r="A86">
        <v>1</v>
      </c>
    </row>
  </sheetData>
  <mergeCells count="8">
    <mergeCell ref="A4:E4"/>
    <mergeCell ref="A9:E9"/>
    <mergeCell ref="A13:E13"/>
    <mergeCell ref="A10:E10"/>
    <mergeCell ref="A11:E11"/>
    <mergeCell ref="A12:E12"/>
    <mergeCell ref="A5:E5"/>
    <mergeCell ref="A6:E6"/>
  </mergeCells>
  <pageMargins left="0.45" right="0.45" top="0.25" bottom="0.25" header="0" footer="0"/>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3958-5D20-7541-93F3-30E9F3216582}">
  <dimension ref="A1:E35"/>
  <sheetViews>
    <sheetView view="pageBreakPreview" zoomScaleNormal="100" zoomScaleSheetLayoutView="100" workbookViewId="0">
      <selection activeCell="B31" sqref="B31"/>
    </sheetView>
  </sheetViews>
  <sheetFormatPr baseColWidth="10" defaultRowHeight="11" x14ac:dyDescent="0.15"/>
  <cols>
    <col min="1" max="1" width="11" customWidth="1"/>
    <col min="2" max="2" width="25.796875" customWidth="1"/>
    <col min="3" max="3" width="13" customWidth="1"/>
    <col min="4" max="4" width="8" customWidth="1"/>
    <col min="5" max="5" width="50.796875" customWidth="1"/>
  </cols>
  <sheetData>
    <row r="1" spans="1:5" ht="21" thickBot="1" x14ac:dyDescent="0.3">
      <c r="A1" s="1" t="s">
        <v>213</v>
      </c>
      <c r="B1" s="1"/>
      <c r="C1" s="1"/>
      <c r="D1" s="1"/>
      <c r="E1" s="1"/>
    </row>
    <row r="2" spans="1:5" ht="12" thickTop="1" x14ac:dyDescent="0.15"/>
    <row r="3" spans="1:5" ht="18" thickBot="1" x14ac:dyDescent="0.25">
      <c r="A3" s="2" t="s">
        <v>8</v>
      </c>
      <c r="B3" s="2"/>
      <c r="C3" s="2"/>
      <c r="D3" s="2"/>
      <c r="E3" s="2"/>
    </row>
    <row r="4" spans="1:5" ht="24" customHeight="1" thickTop="1" x14ac:dyDescent="0.15">
      <c r="A4" s="24" t="s">
        <v>215</v>
      </c>
      <c r="B4" s="24"/>
      <c r="C4" s="24"/>
      <c r="D4" s="24"/>
      <c r="E4" s="24"/>
    </row>
    <row r="6" spans="1:5" ht="18" thickBot="1" x14ac:dyDescent="0.25">
      <c r="A6" s="2" t="s">
        <v>34</v>
      </c>
      <c r="B6" s="2"/>
      <c r="C6" s="2"/>
      <c r="D6" s="2"/>
      <c r="E6" s="2"/>
    </row>
    <row r="7" spans="1:5" ht="12" customHeight="1" thickTop="1" x14ac:dyDescent="0.15">
      <c r="A7" s="24" t="s">
        <v>214</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194</v>
      </c>
      <c r="B10" s="4" t="s">
        <v>9</v>
      </c>
      <c r="C10" s="4" t="s">
        <v>10</v>
      </c>
      <c r="D10" s="4" t="s">
        <v>11</v>
      </c>
      <c r="E10" s="4" t="s">
        <v>13</v>
      </c>
    </row>
    <row r="11" spans="1:5" ht="12" x14ac:dyDescent="0.15">
      <c r="A11" t="s">
        <v>216</v>
      </c>
      <c r="B11" t="s">
        <v>67</v>
      </c>
      <c r="C11">
        <v>2.9</v>
      </c>
      <c r="D11" t="s">
        <v>5</v>
      </c>
    </row>
    <row r="12" spans="1:5" ht="12" x14ac:dyDescent="0.15">
      <c r="A12" t="s">
        <v>216</v>
      </c>
      <c r="B12" t="s">
        <v>68</v>
      </c>
      <c r="C12">
        <v>2.5000000000000001E-2</v>
      </c>
      <c r="D12" t="s">
        <v>7</v>
      </c>
    </row>
    <row r="13" spans="1:5" ht="12" x14ac:dyDescent="0.15">
      <c r="A13" t="s">
        <v>217</v>
      </c>
      <c r="B13" t="s">
        <v>218</v>
      </c>
      <c r="C13">
        <v>330</v>
      </c>
      <c r="D13" t="s">
        <v>6</v>
      </c>
      <c r="E13" t="s">
        <v>433</v>
      </c>
    </row>
    <row r="14" spans="1:5" x14ac:dyDescent="0.15">
      <c r="B14" s="8"/>
      <c r="C14" s="8"/>
      <c r="D14" s="8"/>
    </row>
    <row r="15" spans="1:5" ht="18" thickBot="1" x14ac:dyDescent="0.25">
      <c r="A15" s="2" t="s">
        <v>16</v>
      </c>
      <c r="B15" s="2"/>
      <c r="C15" s="2"/>
      <c r="D15" s="2"/>
      <c r="E15" s="2"/>
    </row>
    <row r="16" spans="1:5" ht="17" thickTop="1" thickBot="1" x14ac:dyDescent="0.25">
      <c r="A16" s="4" t="s">
        <v>194</v>
      </c>
      <c r="B16" s="4" t="s">
        <v>29</v>
      </c>
      <c r="C16" s="4" t="s">
        <v>30</v>
      </c>
      <c r="D16" s="4"/>
      <c r="E16" s="4" t="s">
        <v>8</v>
      </c>
    </row>
    <row r="17" spans="1:5" ht="12" x14ac:dyDescent="0.15">
      <c r="A17">
        <v>1</v>
      </c>
      <c r="B17" t="s">
        <v>72</v>
      </c>
      <c r="C17" t="b">
        <f>C25&lt;C12</f>
        <v>1</v>
      </c>
      <c r="E17" t="s">
        <v>86</v>
      </c>
    </row>
    <row r="18" spans="1:5" ht="12" x14ac:dyDescent="0.15">
      <c r="A18">
        <f>A17+1</f>
        <v>2</v>
      </c>
      <c r="B18" t="s">
        <v>150</v>
      </c>
      <c r="C18" t="b">
        <f>C25&gt;=0.001</f>
        <v>1</v>
      </c>
      <c r="E18" t="s">
        <v>149</v>
      </c>
    </row>
    <row r="19" spans="1:5" ht="12" x14ac:dyDescent="0.15">
      <c r="A19">
        <f>A18+1</f>
        <v>3</v>
      </c>
      <c r="B19" t="s">
        <v>399</v>
      </c>
      <c r="C19" t="b">
        <f>C27&lt;1/16</f>
        <v>1</v>
      </c>
      <c r="E19" t="s">
        <v>396</v>
      </c>
    </row>
    <row r="21" spans="1:5" ht="18" thickBot="1" x14ac:dyDescent="0.25">
      <c r="A21" s="2" t="s">
        <v>12</v>
      </c>
      <c r="B21" s="2"/>
      <c r="C21" s="2"/>
      <c r="D21" s="2"/>
      <c r="E21" s="2"/>
    </row>
    <row r="22" spans="1:5" ht="17" thickTop="1" thickBot="1" x14ac:dyDescent="0.25">
      <c r="A22" s="4" t="s">
        <v>194</v>
      </c>
      <c r="B22" s="4" t="s">
        <v>39</v>
      </c>
      <c r="C22" s="4" t="s">
        <v>35</v>
      </c>
      <c r="D22" s="4" t="s">
        <v>11</v>
      </c>
      <c r="E22" s="4" t="s">
        <v>8</v>
      </c>
    </row>
    <row r="23" spans="1:5" ht="12" x14ac:dyDescent="0.15">
      <c r="A23">
        <v>1</v>
      </c>
      <c r="B23" t="s">
        <v>82</v>
      </c>
      <c r="C23">
        <f>(Project!C11-C11)/C12</f>
        <v>15.999999999999996</v>
      </c>
      <c r="D23" t="s">
        <v>6</v>
      </c>
      <c r="E23" t="s">
        <v>84</v>
      </c>
    </row>
    <row r="24" spans="1:5" ht="12" x14ac:dyDescent="0.15">
      <c r="A24">
        <f>A23+1</f>
        <v>2</v>
      </c>
      <c r="B24" t="s">
        <v>83</v>
      </c>
      <c r="C24">
        <f>(Project!C11-C11)/0.001</f>
        <v>399.99999999999989</v>
      </c>
      <c r="D24" t="s">
        <v>6</v>
      </c>
      <c r="E24" t="s">
        <v>85</v>
      </c>
    </row>
    <row r="25" spans="1:5" ht="12" x14ac:dyDescent="0.15">
      <c r="A25">
        <f>A24+1</f>
        <v>3</v>
      </c>
      <c r="B25" t="s">
        <v>4</v>
      </c>
      <c r="C25" s="12">
        <f>(Project!C11-C11)/C13</f>
        <v>1.2121212121212119E-3</v>
      </c>
      <c r="D25" t="s">
        <v>7</v>
      </c>
      <c r="E25" t="s">
        <v>69</v>
      </c>
    </row>
    <row r="26" spans="1:5" ht="12" x14ac:dyDescent="0.15">
      <c r="A26">
        <f>A25+1</f>
        <v>4</v>
      </c>
      <c r="B26" t="s">
        <v>70</v>
      </c>
      <c r="C26" s="12">
        <f>Project!C11*C25</f>
        <v>3.9999999999999992E-3</v>
      </c>
      <c r="D26" t="s">
        <v>60</v>
      </c>
      <c r="E26" t="s">
        <v>71</v>
      </c>
    </row>
    <row r="27" spans="1:5" ht="12" x14ac:dyDescent="0.15">
      <c r="A27">
        <f>A26+1</f>
        <v>5</v>
      </c>
      <c r="B27" t="s">
        <v>398</v>
      </c>
      <c r="C27" s="12">
        <f>C25*Project!C11</f>
        <v>3.9999999999999992E-3</v>
      </c>
      <c r="D27" t="s">
        <v>60</v>
      </c>
    </row>
    <row r="29" spans="1:5" ht="18" thickBot="1" x14ac:dyDescent="0.25">
      <c r="A29" s="2" t="s">
        <v>38</v>
      </c>
      <c r="B29" s="2"/>
      <c r="C29" s="2"/>
      <c r="D29" s="2"/>
      <c r="E29" s="2"/>
    </row>
    <row r="30" spans="1:5" ht="17" thickTop="1" thickBot="1" x14ac:dyDescent="0.25">
      <c r="A30" s="4" t="s">
        <v>155</v>
      </c>
      <c r="B30" s="4" t="s">
        <v>52</v>
      </c>
      <c r="C30" s="4" t="s">
        <v>182</v>
      </c>
      <c r="D30" s="4" t="s">
        <v>183</v>
      </c>
      <c r="E30" s="4" t="s">
        <v>205</v>
      </c>
    </row>
    <row r="31" spans="1:5" ht="12" x14ac:dyDescent="0.15">
      <c r="A31" t="s">
        <v>217</v>
      </c>
      <c r="B31" s="22" t="s">
        <v>434</v>
      </c>
      <c r="C31" s="13" t="s">
        <v>207</v>
      </c>
      <c r="D31" t="s">
        <v>184</v>
      </c>
      <c r="E31" t="s">
        <v>225</v>
      </c>
    </row>
    <row r="33" spans="1:5" ht="18" thickBot="1" x14ac:dyDescent="0.25">
      <c r="A33" s="2" t="s">
        <v>42</v>
      </c>
      <c r="B33" s="2"/>
      <c r="C33" s="2"/>
      <c r="D33" s="2"/>
      <c r="E33" s="2"/>
    </row>
    <row r="34" spans="1:5" ht="19" thickTop="1" thickBot="1" x14ac:dyDescent="0.25">
      <c r="A34" s="4" t="s">
        <v>194</v>
      </c>
      <c r="B34" s="2" t="s">
        <v>13</v>
      </c>
      <c r="C34" s="2"/>
      <c r="D34" s="2"/>
      <c r="E34" s="2"/>
    </row>
    <row r="35" spans="1:5" x14ac:dyDescent="0.15">
      <c r="A35">
        <v>1</v>
      </c>
    </row>
  </sheetData>
  <mergeCells count="2">
    <mergeCell ref="A4:E4"/>
    <mergeCell ref="A7:E7"/>
  </mergeCells>
  <pageMargins left="0.45" right="0.45" top="0.25" bottom="0.25" header="0" footer="0"/>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E15B-75F4-E24A-B8FB-8C553145EEA9}">
  <dimension ref="A1:E38"/>
  <sheetViews>
    <sheetView view="pageBreakPreview" topLeftCell="A4" zoomScaleNormal="100" zoomScaleSheetLayoutView="100" workbookViewId="0">
      <selection activeCell="B35" sqref="B35"/>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219</v>
      </c>
      <c r="B1" s="1"/>
      <c r="C1" s="1"/>
      <c r="D1" s="1"/>
      <c r="E1" s="1"/>
    </row>
    <row r="2" spans="1:5" ht="12" thickTop="1" x14ac:dyDescent="0.15"/>
    <row r="3" spans="1:5" ht="18" thickBot="1" x14ac:dyDescent="0.25">
      <c r="A3" s="2" t="s">
        <v>8</v>
      </c>
      <c r="B3" s="2"/>
      <c r="C3" s="2"/>
      <c r="D3" s="2"/>
      <c r="E3" s="2"/>
    </row>
    <row r="4" spans="1:5" ht="48" customHeight="1" thickTop="1" x14ac:dyDescent="0.15">
      <c r="A4" s="25" t="s">
        <v>403</v>
      </c>
      <c r="B4" s="25"/>
      <c r="C4" s="25"/>
      <c r="D4" s="25"/>
      <c r="E4" s="25"/>
    </row>
    <row r="6" spans="1:5" ht="18" thickBot="1" x14ac:dyDescent="0.25">
      <c r="A6" s="2" t="s">
        <v>34</v>
      </c>
      <c r="B6" s="2"/>
      <c r="C6" s="2"/>
      <c r="D6" s="2"/>
      <c r="E6" s="2"/>
    </row>
    <row r="7" spans="1:5" ht="24" customHeight="1" thickTop="1" x14ac:dyDescent="0.15">
      <c r="A7" s="25" t="s">
        <v>220</v>
      </c>
      <c r="B7" s="25"/>
      <c r="C7" s="25"/>
      <c r="D7" s="25"/>
      <c r="E7" s="25"/>
    </row>
    <row r="8" spans="1:5" x14ac:dyDescent="0.15">
      <c r="B8" s="7"/>
      <c r="C8" s="7"/>
      <c r="D8" s="7"/>
      <c r="E8" s="7"/>
    </row>
    <row r="9" spans="1:5" ht="18" thickBot="1" x14ac:dyDescent="0.25">
      <c r="A9" s="2" t="s">
        <v>0</v>
      </c>
      <c r="B9" s="2"/>
      <c r="C9" s="2"/>
      <c r="D9" s="2"/>
      <c r="E9" s="2"/>
    </row>
    <row r="10" spans="1:5" ht="17" thickTop="1" thickBot="1" x14ac:dyDescent="0.25">
      <c r="A10" s="4" t="s">
        <v>194</v>
      </c>
      <c r="B10" s="4" t="s">
        <v>9</v>
      </c>
      <c r="C10" s="4" t="s">
        <v>10</v>
      </c>
      <c r="D10" s="4" t="s">
        <v>11</v>
      </c>
      <c r="E10" s="4" t="s">
        <v>13</v>
      </c>
    </row>
    <row r="11" spans="1:5" ht="12" x14ac:dyDescent="0.15">
      <c r="A11" t="s">
        <v>221</v>
      </c>
      <c r="B11" t="s">
        <v>2</v>
      </c>
      <c r="C11">
        <v>50</v>
      </c>
      <c r="D11" t="s">
        <v>5</v>
      </c>
      <c r="E11" t="s">
        <v>24</v>
      </c>
    </row>
    <row r="12" spans="1:5" ht="12" x14ac:dyDescent="0.15">
      <c r="A12" t="s">
        <v>221</v>
      </c>
      <c r="B12" t="s">
        <v>14</v>
      </c>
      <c r="C12">
        <v>1.5</v>
      </c>
      <c r="D12" t="s">
        <v>5</v>
      </c>
      <c r="E12" t="s">
        <v>25</v>
      </c>
    </row>
    <row r="13" spans="1:5" ht="12" x14ac:dyDescent="0.15">
      <c r="A13" t="s">
        <v>221</v>
      </c>
      <c r="B13" t="s">
        <v>3</v>
      </c>
      <c r="C13">
        <v>3.5</v>
      </c>
      <c r="D13" t="s">
        <v>6</v>
      </c>
      <c r="E13" t="s">
        <v>25</v>
      </c>
    </row>
    <row r="14" spans="1:5" ht="12" x14ac:dyDescent="0.15">
      <c r="A14" t="s">
        <v>221</v>
      </c>
      <c r="B14" t="s">
        <v>4</v>
      </c>
      <c r="C14">
        <v>0.2</v>
      </c>
      <c r="D14" t="s">
        <v>7</v>
      </c>
      <c r="E14" t="s">
        <v>24</v>
      </c>
    </row>
    <row r="15" spans="1:5" ht="12" x14ac:dyDescent="0.15">
      <c r="A15" t="s">
        <v>221</v>
      </c>
      <c r="B15" t="s">
        <v>15</v>
      </c>
      <c r="C15">
        <v>69</v>
      </c>
      <c r="D15" t="s">
        <v>6</v>
      </c>
      <c r="E15" t="s">
        <v>25</v>
      </c>
    </row>
    <row r="16" spans="1:5" ht="12" x14ac:dyDescent="0.15">
      <c r="A16" t="s">
        <v>222</v>
      </c>
      <c r="B16" t="s">
        <v>223</v>
      </c>
      <c r="C16">
        <v>330</v>
      </c>
      <c r="D16" t="s">
        <v>6</v>
      </c>
      <c r="E16" t="s">
        <v>433</v>
      </c>
    </row>
    <row r="17" spans="1:5" x14ac:dyDescent="0.15">
      <c r="B17" s="8"/>
      <c r="C17" s="8"/>
      <c r="D17" s="8"/>
    </row>
    <row r="18" spans="1:5" ht="18" thickBot="1" x14ac:dyDescent="0.25">
      <c r="A18" s="2" t="s">
        <v>16</v>
      </c>
      <c r="B18" s="2"/>
      <c r="C18" s="2"/>
      <c r="D18" s="2"/>
      <c r="E18" s="2"/>
    </row>
    <row r="19" spans="1:5" ht="17" thickTop="1" thickBot="1" x14ac:dyDescent="0.25">
      <c r="A19" s="4" t="s">
        <v>194</v>
      </c>
      <c r="B19" s="4" t="s">
        <v>29</v>
      </c>
      <c r="C19" s="4" t="s">
        <v>30</v>
      </c>
      <c r="D19" s="4"/>
      <c r="E19" s="4" t="s">
        <v>8</v>
      </c>
    </row>
    <row r="20" spans="1:5" ht="12" x14ac:dyDescent="0.15">
      <c r="A20">
        <v>1</v>
      </c>
      <c r="B20" t="s">
        <v>23</v>
      </c>
      <c r="C20" t="b">
        <f>C11&gt;Project!C8</f>
        <v>1</v>
      </c>
      <c r="E20" t="s">
        <v>31</v>
      </c>
    </row>
    <row r="21" spans="1:5" ht="12" x14ac:dyDescent="0.15">
      <c r="A21">
        <f>A20+1</f>
        <v>2</v>
      </c>
      <c r="B21" t="s">
        <v>28</v>
      </c>
      <c r="C21" t="b">
        <f>C12&lt;Project!C11</f>
        <v>1</v>
      </c>
      <c r="E21" t="s">
        <v>32</v>
      </c>
    </row>
    <row r="22" spans="1:5" ht="12" x14ac:dyDescent="0.15">
      <c r="A22">
        <f>A21+1</f>
        <v>3</v>
      </c>
      <c r="B22" t="s">
        <v>27</v>
      </c>
      <c r="C22" t="b">
        <f>C14&gt;Project!C12</f>
        <v>1</v>
      </c>
      <c r="E22" t="s">
        <v>33</v>
      </c>
    </row>
    <row r="23" spans="1:5" ht="12" x14ac:dyDescent="0.15">
      <c r="A23">
        <f>A22+1</f>
        <v>4</v>
      </c>
      <c r="B23" t="s">
        <v>43</v>
      </c>
      <c r="C23" t="b">
        <f>C28&lt;'2x Processor'!C16</f>
        <v>1</v>
      </c>
      <c r="E23" t="s">
        <v>44</v>
      </c>
    </row>
    <row r="24" spans="1:5" ht="24" x14ac:dyDescent="0.15">
      <c r="A24">
        <f>A23+1</f>
        <v>5</v>
      </c>
      <c r="B24" t="s">
        <v>46</v>
      </c>
      <c r="C24" t="b">
        <f>C29&lt;'2x Processor'!C17</f>
        <v>1</v>
      </c>
      <c r="E24" t="s">
        <v>47</v>
      </c>
    </row>
    <row r="26" spans="1:5" ht="18" thickBot="1" x14ac:dyDescent="0.25">
      <c r="A26" s="2" t="s">
        <v>12</v>
      </c>
      <c r="B26" s="2"/>
      <c r="C26" s="2"/>
      <c r="D26" s="2"/>
      <c r="E26" s="2"/>
    </row>
    <row r="27" spans="1:5" ht="17" thickTop="1" thickBot="1" x14ac:dyDescent="0.25">
      <c r="A27" s="4" t="s">
        <v>194</v>
      </c>
      <c r="B27" s="4" t="s">
        <v>39</v>
      </c>
      <c r="C27" s="4" t="s">
        <v>35</v>
      </c>
      <c r="D27" s="4" t="s">
        <v>11</v>
      </c>
      <c r="E27" s="4" t="s">
        <v>8</v>
      </c>
    </row>
    <row r="28" spans="1:5" ht="12" x14ac:dyDescent="0.15">
      <c r="B28" t="s">
        <v>40</v>
      </c>
      <c r="C28" s="16">
        <f>Project!C11/C16</f>
        <v>0.01</v>
      </c>
      <c r="D28" t="s">
        <v>7</v>
      </c>
      <c r="E28" t="s">
        <v>41</v>
      </c>
    </row>
    <row r="29" spans="1:5" ht="17" customHeight="1" x14ac:dyDescent="0.15">
      <c r="B29" t="s">
        <v>45</v>
      </c>
      <c r="C29" s="16">
        <f>C28*6</f>
        <v>0.06</v>
      </c>
      <c r="D29" t="s">
        <v>7</v>
      </c>
      <c r="E29" t="s">
        <v>224</v>
      </c>
    </row>
    <row r="31" spans="1:5" ht="18" thickBot="1" x14ac:dyDescent="0.25">
      <c r="A31" s="2" t="s">
        <v>38</v>
      </c>
      <c r="B31" s="2"/>
      <c r="C31" s="2"/>
      <c r="D31" s="2"/>
      <c r="E31" s="2"/>
    </row>
    <row r="32" spans="1:5" ht="17" thickTop="1" thickBot="1" x14ac:dyDescent="0.25">
      <c r="A32" s="4" t="s">
        <v>155</v>
      </c>
      <c r="B32" s="4" t="s">
        <v>52</v>
      </c>
      <c r="C32" s="4" t="s">
        <v>182</v>
      </c>
      <c r="D32" s="4" t="s">
        <v>183</v>
      </c>
      <c r="E32" s="4" t="s">
        <v>205</v>
      </c>
    </row>
    <row r="33" spans="1:5" ht="12" x14ac:dyDescent="0.15">
      <c r="A33" t="s">
        <v>273</v>
      </c>
      <c r="B33" t="s">
        <v>402</v>
      </c>
      <c r="C33" t="s">
        <v>1</v>
      </c>
      <c r="D33" t="s">
        <v>184</v>
      </c>
      <c r="E33" t="s">
        <v>402</v>
      </c>
    </row>
    <row r="34" spans="1:5" ht="12" x14ac:dyDescent="0.15">
      <c r="A34" t="s">
        <v>222</v>
      </c>
      <c r="B34" s="22" t="s">
        <v>434</v>
      </c>
      <c r="C34" s="13" t="s">
        <v>207</v>
      </c>
      <c r="D34" t="s">
        <v>184</v>
      </c>
      <c r="E34" t="s">
        <v>225</v>
      </c>
    </row>
    <row r="36" spans="1:5" ht="18" thickBot="1" x14ac:dyDescent="0.25">
      <c r="A36" s="2" t="s">
        <v>42</v>
      </c>
      <c r="B36" s="2"/>
      <c r="C36" s="2"/>
      <c r="D36" s="2"/>
      <c r="E36" s="2"/>
    </row>
    <row r="37" spans="1:5" ht="17" thickTop="1" thickBot="1" x14ac:dyDescent="0.25">
      <c r="A37" s="4" t="s">
        <v>194</v>
      </c>
      <c r="B37" s="17"/>
      <c r="C37" s="17"/>
      <c r="D37" s="17"/>
      <c r="E37" s="17"/>
    </row>
    <row r="38" spans="1:5" ht="24" customHeight="1" x14ac:dyDescent="0.15">
      <c r="A38">
        <v>1</v>
      </c>
      <c r="B38" s="30" t="s">
        <v>226</v>
      </c>
      <c r="C38" s="30"/>
      <c r="D38" s="30"/>
      <c r="E38" s="30"/>
    </row>
  </sheetData>
  <mergeCells count="3">
    <mergeCell ref="A4:E4"/>
    <mergeCell ref="A7:E7"/>
    <mergeCell ref="B38:E38"/>
  </mergeCells>
  <pageMargins left="0.45" right="0.45" top="0.25" bottom="0.25" header="0" footer="0"/>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3BBA-56E6-A849-90C8-B4D5DB8B21B1}">
  <dimension ref="A1:E57"/>
  <sheetViews>
    <sheetView view="pageBreakPreview" zoomScaleNormal="100" zoomScaleSheetLayoutView="100" workbookViewId="0">
      <selection activeCell="C16" sqref="C16"/>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219</v>
      </c>
      <c r="B1" s="1"/>
      <c r="C1" s="1"/>
      <c r="D1" s="1"/>
      <c r="E1" s="1"/>
    </row>
    <row r="2" spans="1:5" ht="12" thickTop="1" x14ac:dyDescent="0.15"/>
    <row r="3" spans="1:5" ht="18" thickBot="1" x14ac:dyDescent="0.25">
      <c r="A3" s="2" t="s">
        <v>8</v>
      </c>
      <c r="B3" s="2"/>
      <c r="C3" s="2"/>
      <c r="D3" s="2"/>
      <c r="E3" s="2"/>
    </row>
    <row r="4" spans="1:5" ht="12" customHeight="1" thickTop="1" x14ac:dyDescent="0.15">
      <c r="A4" s="24" t="s">
        <v>228</v>
      </c>
      <c r="B4" s="24"/>
      <c r="C4" s="24"/>
      <c r="D4" s="24"/>
      <c r="E4" s="24"/>
    </row>
    <row r="6" spans="1:5" ht="18" thickBot="1" x14ac:dyDescent="0.25">
      <c r="A6" s="2" t="s">
        <v>34</v>
      </c>
      <c r="B6" s="2"/>
      <c r="C6" s="2"/>
      <c r="D6" s="2"/>
      <c r="E6" s="2"/>
    </row>
    <row r="7" spans="1:5" ht="24" customHeight="1" thickTop="1" x14ac:dyDescent="0.15">
      <c r="A7" s="24" t="s">
        <v>234</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155</v>
      </c>
      <c r="B10" s="4" t="s">
        <v>9</v>
      </c>
      <c r="C10" s="4" t="s">
        <v>10</v>
      </c>
      <c r="D10" s="4" t="s">
        <v>11</v>
      </c>
      <c r="E10" s="4" t="s">
        <v>13</v>
      </c>
    </row>
    <row r="11" spans="1:5" ht="12" x14ac:dyDescent="0.15">
      <c r="A11" t="s">
        <v>227</v>
      </c>
      <c r="B11" t="s">
        <v>96</v>
      </c>
      <c r="C11">
        <v>2.9</v>
      </c>
      <c r="D11" t="s">
        <v>5</v>
      </c>
    </row>
    <row r="12" spans="1:5" ht="12" x14ac:dyDescent="0.15">
      <c r="A12" t="s">
        <v>230</v>
      </c>
      <c r="B12" t="s">
        <v>97</v>
      </c>
      <c r="C12">
        <v>1.95</v>
      </c>
      <c r="D12" t="s">
        <v>5</v>
      </c>
    </row>
    <row r="13" spans="1:5" ht="12" x14ac:dyDescent="0.15">
      <c r="A13" t="s">
        <v>230</v>
      </c>
      <c r="B13" t="s">
        <v>98</v>
      </c>
      <c r="C13">
        <v>1.95</v>
      </c>
      <c r="D13" t="s">
        <v>5</v>
      </c>
    </row>
    <row r="14" spans="1:5" ht="12" x14ac:dyDescent="0.15">
      <c r="A14" t="s">
        <v>227</v>
      </c>
      <c r="B14" t="s">
        <v>68</v>
      </c>
      <c r="C14">
        <v>2.5000000000000001E-2</v>
      </c>
      <c r="D14" t="s">
        <v>7</v>
      </c>
    </row>
    <row r="15" spans="1:5" ht="12" x14ac:dyDescent="0.15">
      <c r="A15" t="s">
        <v>227</v>
      </c>
      <c r="B15" t="s">
        <v>70</v>
      </c>
      <c r="C15" s="16">
        <v>0.08</v>
      </c>
      <c r="D15" t="s">
        <v>60</v>
      </c>
    </row>
    <row r="16" spans="1:5" ht="12" x14ac:dyDescent="0.15">
      <c r="A16" t="s">
        <v>229</v>
      </c>
      <c r="B16" t="s">
        <v>231</v>
      </c>
      <c r="C16">
        <v>3000</v>
      </c>
      <c r="D16" t="s">
        <v>6</v>
      </c>
    </row>
    <row r="17" spans="1:5" ht="12" x14ac:dyDescent="0.15">
      <c r="A17" t="s">
        <v>230</v>
      </c>
      <c r="B17" t="s">
        <v>97</v>
      </c>
      <c r="C17">
        <v>1.95</v>
      </c>
      <c r="D17" t="s">
        <v>5</v>
      </c>
    </row>
    <row r="18" spans="1:5" ht="12" x14ac:dyDescent="0.15">
      <c r="A18" t="s">
        <v>230</v>
      </c>
      <c r="B18" t="s">
        <v>98</v>
      </c>
      <c r="C18">
        <v>1.95</v>
      </c>
      <c r="D18" t="s">
        <v>5</v>
      </c>
    </row>
    <row r="19" spans="1:5" ht="12" x14ac:dyDescent="0.15">
      <c r="A19" t="s">
        <v>230</v>
      </c>
      <c r="B19" t="s">
        <v>68</v>
      </c>
      <c r="C19">
        <v>2.5000000000000001E-2</v>
      </c>
      <c r="D19" t="s">
        <v>7</v>
      </c>
    </row>
    <row r="20" spans="1:5" ht="12" x14ac:dyDescent="0.15">
      <c r="A20" t="s">
        <v>230</v>
      </c>
      <c r="B20" t="s">
        <v>70</v>
      </c>
      <c r="C20">
        <v>5.5E-2</v>
      </c>
      <c r="D20" t="s">
        <v>60</v>
      </c>
    </row>
    <row r="21" spans="1:5" ht="12" x14ac:dyDescent="0.15">
      <c r="A21" t="s">
        <v>232</v>
      </c>
      <c r="B21" t="s">
        <v>233</v>
      </c>
      <c r="C21">
        <v>3000</v>
      </c>
      <c r="D21" t="s">
        <v>6</v>
      </c>
    </row>
    <row r="22" spans="1:5" x14ac:dyDescent="0.15">
      <c r="B22" s="8"/>
      <c r="C22" s="8"/>
      <c r="D22" s="8"/>
    </row>
    <row r="23" spans="1:5" ht="18" thickBot="1" x14ac:dyDescent="0.25">
      <c r="A23" s="2" t="s">
        <v>16</v>
      </c>
      <c r="B23" s="2"/>
      <c r="C23" s="2"/>
      <c r="D23" s="2"/>
      <c r="E23" s="2"/>
    </row>
    <row r="24" spans="1:5" ht="17" thickTop="1" thickBot="1" x14ac:dyDescent="0.25">
      <c r="A24" s="4" t="s">
        <v>194</v>
      </c>
      <c r="B24" s="4" t="s">
        <v>29</v>
      </c>
      <c r="C24" s="4" t="s">
        <v>30</v>
      </c>
      <c r="D24" s="4"/>
      <c r="E24" s="4" t="s">
        <v>8</v>
      </c>
    </row>
    <row r="25" spans="1:5" ht="12" customHeight="1" x14ac:dyDescent="0.15">
      <c r="A25">
        <v>1</v>
      </c>
      <c r="B25" t="s">
        <v>105</v>
      </c>
      <c r="C25" t="b">
        <f>C42&lt;C14</f>
        <v>1</v>
      </c>
      <c r="E25" t="s">
        <v>86</v>
      </c>
    </row>
    <row r="26" spans="1:5" ht="12" x14ac:dyDescent="0.15">
      <c r="A26">
        <f>A25+1</f>
        <v>2</v>
      </c>
      <c r="B26" t="s">
        <v>106</v>
      </c>
      <c r="C26" t="b">
        <f>C43&gt;0.001</f>
        <v>1</v>
      </c>
      <c r="E26" t="s">
        <v>94</v>
      </c>
    </row>
    <row r="27" spans="1:5" ht="12" x14ac:dyDescent="0.15">
      <c r="A27">
        <f t="shared" ref="A27:A32" si="0">A26+1</f>
        <v>3</v>
      </c>
      <c r="B27" t="s">
        <v>107</v>
      </c>
      <c r="C27" t="b">
        <f>C44&lt;C14</f>
        <v>1</v>
      </c>
      <c r="E27" t="s">
        <v>86</v>
      </c>
    </row>
    <row r="28" spans="1:5" ht="12" x14ac:dyDescent="0.15">
      <c r="A28">
        <f t="shared" si="0"/>
        <v>4</v>
      </c>
      <c r="B28" t="s">
        <v>108</v>
      </c>
      <c r="C28" t="b">
        <f>C45&gt;0.001</f>
        <v>1</v>
      </c>
      <c r="E28" t="s">
        <v>94</v>
      </c>
    </row>
    <row r="29" spans="1:5" ht="12" customHeight="1" x14ac:dyDescent="0.15">
      <c r="A29">
        <f t="shared" si="0"/>
        <v>5</v>
      </c>
      <c r="B29" t="s">
        <v>109</v>
      </c>
      <c r="C29" t="b">
        <f>C46&lt;C14</f>
        <v>1</v>
      </c>
      <c r="E29" t="s">
        <v>86</v>
      </c>
    </row>
    <row r="30" spans="1:5" ht="12" x14ac:dyDescent="0.15">
      <c r="A30">
        <f t="shared" si="0"/>
        <v>6</v>
      </c>
      <c r="B30" t="s">
        <v>110</v>
      </c>
      <c r="C30" t="b">
        <f>C47&gt;0.001</f>
        <v>1</v>
      </c>
      <c r="E30" t="s">
        <v>94</v>
      </c>
    </row>
    <row r="31" spans="1:5" ht="12" x14ac:dyDescent="0.15">
      <c r="A31">
        <f t="shared" si="0"/>
        <v>7</v>
      </c>
      <c r="B31" t="s">
        <v>239</v>
      </c>
      <c r="C31" t="b">
        <f>C48&lt;C15</f>
        <v>1</v>
      </c>
    </row>
    <row r="32" spans="1:5" ht="12" x14ac:dyDescent="0.15">
      <c r="A32">
        <f t="shared" si="0"/>
        <v>8</v>
      </c>
      <c r="B32" t="s">
        <v>240</v>
      </c>
      <c r="C32" t="b">
        <f>C49&lt;C20</f>
        <v>1</v>
      </c>
    </row>
    <row r="34" spans="1:5" ht="18" thickBot="1" x14ac:dyDescent="0.25">
      <c r="A34" s="2" t="s">
        <v>12</v>
      </c>
      <c r="B34" s="2"/>
      <c r="C34" s="2"/>
      <c r="D34" s="2"/>
      <c r="E34" s="2"/>
    </row>
    <row r="35" spans="1:5" ht="17" thickTop="1" thickBot="1" x14ac:dyDescent="0.25">
      <c r="A35" s="4" t="s">
        <v>194</v>
      </c>
      <c r="B35" s="4" t="s">
        <v>39</v>
      </c>
      <c r="C35" s="4" t="s">
        <v>35</v>
      </c>
      <c r="D35" s="4" t="s">
        <v>11</v>
      </c>
      <c r="E35" s="4" t="s">
        <v>8</v>
      </c>
    </row>
    <row r="36" spans="1:5" ht="12" x14ac:dyDescent="0.15">
      <c r="A36">
        <v>1</v>
      </c>
      <c r="B36" t="s">
        <v>99</v>
      </c>
      <c r="C36">
        <f>(Project!C8-C11)/C14</f>
        <v>1084</v>
      </c>
      <c r="D36" t="s">
        <v>6</v>
      </c>
      <c r="E36" t="s">
        <v>235</v>
      </c>
    </row>
    <row r="37" spans="1:5" ht="12" x14ac:dyDescent="0.15">
      <c r="A37">
        <f t="shared" ref="A37:A49" si="1">A36+1</f>
        <v>2</v>
      </c>
      <c r="B37" t="s">
        <v>101</v>
      </c>
      <c r="C37">
        <f>(Project!C8-C12)/C14</f>
        <v>1122</v>
      </c>
      <c r="D37" t="s">
        <v>6</v>
      </c>
      <c r="E37" t="s">
        <v>235</v>
      </c>
    </row>
    <row r="38" spans="1:5" ht="12" x14ac:dyDescent="0.15">
      <c r="A38">
        <f t="shared" si="1"/>
        <v>3</v>
      </c>
      <c r="B38" t="s">
        <v>103</v>
      </c>
      <c r="C38">
        <f>(Project!C8-C13)/C14</f>
        <v>1122</v>
      </c>
      <c r="D38" t="s">
        <v>6</v>
      </c>
      <c r="E38" t="s">
        <v>235</v>
      </c>
    </row>
    <row r="39" spans="1:5" ht="12" x14ac:dyDescent="0.15">
      <c r="A39">
        <f t="shared" si="1"/>
        <v>4</v>
      </c>
      <c r="B39" t="s">
        <v>100</v>
      </c>
      <c r="C39">
        <f>(Project!C9-C11)/0.001</f>
        <v>3100</v>
      </c>
      <c r="D39" t="s">
        <v>6</v>
      </c>
      <c r="E39" t="s">
        <v>236</v>
      </c>
    </row>
    <row r="40" spans="1:5" ht="12" x14ac:dyDescent="0.15">
      <c r="A40">
        <f t="shared" si="1"/>
        <v>5</v>
      </c>
      <c r="B40" t="s">
        <v>102</v>
      </c>
      <c r="C40">
        <f>(Project!C9-C12)/0.001</f>
        <v>4049.9999999999995</v>
      </c>
      <c r="D40" t="s">
        <v>6</v>
      </c>
      <c r="E40" t="s">
        <v>236</v>
      </c>
    </row>
    <row r="41" spans="1:5" ht="12" x14ac:dyDescent="0.15">
      <c r="A41">
        <f t="shared" si="1"/>
        <v>6</v>
      </c>
      <c r="B41" t="s">
        <v>104</v>
      </c>
      <c r="C41">
        <f>(Project!C9-C13)/0.001</f>
        <v>4049.9999999999995</v>
      </c>
      <c r="D41" t="s">
        <v>6</v>
      </c>
      <c r="E41" t="s">
        <v>236</v>
      </c>
    </row>
    <row r="42" spans="1:5" ht="12" x14ac:dyDescent="0.15">
      <c r="A42">
        <f t="shared" si="1"/>
        <v>7</v>
      </c>
      <c r="B42" t="s">
        <v>111</v>
      </c>
      <c r="C42" s="12">
        <f>(Project!C8-C11)/C16</f>
        <v>9.0333333333333342E-3</v>
      </c>
      <c r="D42" t="s">
        <v>7</v>
      </c>
      <c r="E42" t="s">
        <v>91</v>
      </c>
    </row>
    <row r="43" spans="1:5" ht="12" x14ac:dyDescent="0.15">
      <c r="A43">
        <f t="shared" si="1"/>
        <v>8</v>
      </c>
      <c r="B43" t="s">
        <v>112</v>
      </c>
      <c r="C43" s="12">
        <f>(Project!C9-C11)/C16</f>
        <v>1.0333333333333334E-3</v>
      </c>
      <c r="D43" t="s">
        <v>7</v>
      </c>
      <c r="E43" t="s">
        <v>92</v>
      </c>
    </row>
    <row r="44" spans="1:5" ht="12" x14ac:dyDescent="0.15">
      <c r="A44">
        <f t="shared" si="1"/>
        <v>9</v>
      </c>
      <c r="B44" t="s">
        <v>113</v>
      </c>
      <c r="C44" s="12">
        <f>(Project!C8-C12)/C21</f>
        <v>9.3500000000000007E-3</v>
      </c>
      <c r="D44" t="s">
        <v>7</v>
      </c>
      <c r="E44" t="s">
        <v>91</v>
      </c>
    </row>
    <row r="45" spans="1:5" ht="12" x14ac:dyDescent="0.15">
      <c r="A45">
        <f t="shared" si="1"/>
        <v>10</v>
      </c>
      <c r="B45" t="s">
        <v>114</v>
      </c>
      <c r="C45" s="12">
        <f>(Project!C9-C12)/C21</f>
        <v>1.3499999999999999E-3</v>
      </c>
      <c r="D45" t="s">
        <v>7</v>
      </c>
      <c r="E45" t="s">
        <v>92</v>
      </c>
    </row>
    <row r="46" spans="1:5" ht="12" x14ac:dyDescent="0.15">
      <c r="A46">
        <f t="shared" si="1"/>
        <v>11</v>
      </c>
      <c r="B46" t="s">
        <v>115</v>
      </c>
      <c r="C46" s="12">
        <f>(Project!C8-C13)/C21</f>
        <v>9.3500000000000007E-3</v>
      </c>
      <c r="D46" t="s">
        <v>7</v>
      </c>
      <c r="E46" t="s">
        <v>91</v>
      </c>
    </row>
    <row r="47" spans="1:5" ht="12" x14ac:dyDescent="0.15">
      <c r="A47">
        <f t="shared" si="1"/>
        <v>12</v>
      </c>
      <c r="B47" t="s">
        <v>116</v>
      </c>
      <c r="C47" s="12">
        <f>(Project!C9-C13)/C21</f>
        <v>1.3499999999999999E-3</v>
      </c>
      <c r="D47" t="s">
        <v>7</v>
      </c>
      <c r="E47" t="s">
        <v>92</v>
      </c>
    </row>
    <row r="48" spans="1:5" ht="12" x14ac:dyDescent="0.15">
      <c r="A48">
        <f t="shared" si="1"/>
        <v>13</v>
      </c>
      <c r="B48" t="s">
        <v>237</v>
      </c>
      <c r="C48" s="16">
        <f>C11*C42</f>
        <v>2.6196666666666667E-2</v>
      </c>
      <c r="D48" t="s">
        <v>60</v>
      </c>
      <c r="E48" t="s">
        <v>93</v>
      </c>
    </row>
    <row r="49" spans="1:5" ht="12" x14ac:dyDescent="0.15">
      <c r="A49">
        <f t="shared" si="1"/>
        <v>14</v>
      </c>
      <c r="B49" t="s">
        <v>238</v>
      </c>
      <c r="C49" s="16">
        <f>C44*C17</f>
        <v>1.8232500000000002E-2</v>
      </c>
      <c r="D49" t="s">
        <v>60</v>
      </c>
      <c r="E49" t="s">
        <v>93</v>
      </c>
    </row>
    <row r="51" spans="1:5" ht="18" thickBot="1" x14ac:dyDescent="0.25">
      <c r="A51" s="2" t="s">
        <v>38</v>
      </c>
      <c r="B51" s="2" t="s">
        <v>38</v>
      </c>
      <c r="C51" s="2"/>
      <c r="D51" s="2"/>
      <c r="E51" s="2"/>
    </row>
    <row r="52" spans="1:5" ht="17" thickTop="1" thickBot="1" x14ac:dyDescent="0.25">
      <c r="A52" s="4" t="s">
        <v>155</v>
      </c>
      <c r="B52" s="4" t="s">
        <v>52</v>
      </c>
      <c r="C52" s="4" t="s">
        <v>182</v>
      </c>
      <c r="D52" s="4" t="s">
        <v>183</v>
      </c>
      <c r="E52" s="4" t="s">
        <v>205</v>
      </c>
    </row>
    <row r="53" spans="1:5" ht="12" customHeight="1" x14ac:dyDescent="0.15">
      <c r="A53" t="s">
        <v>241</v>
      </c>
      <c r="B53" t="s">
        <v>242</v>
      </c>
      <c r="C53" s="13" t="s">
        <v>207</v>
      </c>
      <c r="D53" t="s">
        <v>184</v>
      </c>
      <c r="E53" t="s">
        <v>243</v>
      </c>
    </row>
    <row r="55" spans="1:5" ht="18" thickBot="1" x14ac:dyDescent="0.25">
      <c r="A55" s="2" t="s">
        <v>42</v>
      </c>
      <c r="B55" s="2"/>
      <c r="C55" s="2"/>
      <c r="D55" s="2"/>
      <c r="E55" s="2"/>
    </row>
    <row r="56" spans="1:5" ht="17" thickTop="1" thickBot="1" x14ac:dyDescent="0.25">
      <c r="A56" s="4" t="s">
        <v>194</v>
      </c>
      <c r="B56" s="17"/>
      <c r="C56" s="17"/>
      <c r="D56" s="17"/>
      <c r="E56" s="17"/>
    </row>
    <row r="57" spans="1:5" x14ac:dyDescent="0.15">
      <c r="A57">
        <v>1</v>
      </c>
    </row>
  </sheetData>
  <mergeCells count="2">
    <mergeCell ref="A4:E4"/>
    <mergeCell ref="A7:E7"/>
  </mergeCells>
  <pageMargins left="0.45" right="0.45" top="0.25" bottom="0.25" header="0" footer="0"/>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1x Power Supply</vt:lpstr>
      <vt:lpstr>2x Processor</vt:lpstr>
      <vt:lpstr>3x DCC Signal</vt:lpstr>
      <vt:lpstr>4x Dummy Load</vt:lpstr>
      <vt:lpstr>5x Motor Drive</vt:lpstr>
      <vt:lpstr>6x F0F-F0R</vt:lpstr>
      <vt:lpstr>7x Function Outputs</vt:lpstr>
      <vt:lpstr>8x Diag LEDs</vt:lpstr>
      <vt:lpstr>9x External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Bicknell</dc:creator>
  <cp:lastModifiedBy>Leo Bicknell</cp:lastModifiedBy>
  <cp:lastPrinted>2023-09-24T14:49:34Z</cp:lastPrinted>
  <dcterms:created xsi:type="dcterms:W3CDTF">2023-09-17T17:44:47Z</dcterms:created>
  <dcterms:modified xsi:type="dcterms:W3CDTF">2023-10-08T13:35:09Z</dcterms:modified>
</cp:coreProperties>
</file>