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Inputs" sheetId="1" state="visible" r:id="rId2"/>
    <sheet name="Income Statement" sheetId="2" state="visible" r:id="rId3"/>
    <sheet name="SO-like" sheetId="3" state="visible" r:id="rId4"/>
    <sheet name="Balance Sheet" sheetId="4" state="visible" r:id="rId5"/>
    <sheet name="BSsimp" sheetId="5" state="visible" r:id="rId6"/>
    <sheet name="Cash Flow Statement" sheetId="6" state="visible" r:id="rId7"/>
  </sheets>
  <definedNames>
    <definedName function="true" hidden="false" name="FLOOR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<sst xmlns="http://schemas.openxmlformats.org/spreadsheetml/2006/main" count="634" uniqueCount="322">
  <si>
    <t xml:space="preserve">INPUTS</t>
  </si>
  <si>
    <t xml:space="preserve">Indicate horizon of forecasts </t>
  </si>
  <si>
    <t xml:space="preserve">Indicate steady-state after year N</t>
  </si>
  <si>
    <t xml:space="preserve">Macroeconomic and Market Data</t>
  </si>
  <si>
    <t xml:space="preserve">Average</t>
  </si>
  <si>
    <t xml:space="preserve">Economy</t>
  </si>
  <si>
    <t xml:space="preserve">Inflation Rate</t>
  </si>
  <si>
    <t xml:space="preserve">Market</t>
  </si>
  <si>
    <t xml:space="preserve">Risk-free Rate</t>
  </si>
  <si>
    <t xml:space="preserve">I-Rate on Loans</t>
  </si>
  <si>
    <t xml:space="preserve">Market </t>
  </si>
  <si>
    <t xml:space="preserve">I-Rate on Bonds</t>
  </si>
  <si>
    <t xml:space="preserve">Preferred Dividend </t>
  </si>
  <si>
    <t xml:space="preserve">Dividend &amp; Interest Income</t>
  </si>
  <si>
    <t xml:space="preserve">Stock price</t>
  </si>
  <si>
    <t xml:space="preserve">Cash Flow - Operations - Firm Drivers</t>
  </si>
  <si>
    <t xml:space="preserve">Revenues</t>
  </si>
  <si>
    <t xml:space="preserve">Prime</t>
  </si>
  <si>
    <t xml:space="preserve">avg T6</t>
  </si>
  <si>
    <t xml:space="preserve">Retail revenue growth</t>
  </si>
  <si>
    <t xml:space="preserve">Wholesale revenue growth</t>
  </si>
  <si>
    <t xml:space="preserve">Secondary</t>
  </si>
  <si>
    <t xml:space="preserve">% r/w revs</t>
  </si>
  <si>
    <t xml:space="preserve">Other electric--trailing 5 years</t>
  </si>
  <si>
    <t xml:space="preserve">flat</t>
  </si>
  <si>
    <t xml:space="preserve">Natural gas revenue growth</t>
  </si>
  <si>
    <t xml:space="preserve">% non-other</t>
  </si>
  <si>
    <t xml:space="preserve">Other revenues growth</t>
  </si>
  <si>
    <t xml:space="preserve">Expenses</t>
  </si>
  <si>
    <t xml:space="preserve">% e- revs, T3</t>
  </si>
  <si>
    <t xml:space="preserve">Fuel</t>
  </si>
  <si>
    <t xml:space="preserve">% e- revs</t>
  </si>
  <si>
    <t xml:space="preserve">Purchased Power</t>
  </si>
  <si>
    <t xml:space="preserve">% ng revs, T2</t>
  </si>
  <si>
    <t xml:space="preserve">Cost of natural gas</t>
  </si>
  <si>
    <t xml:space="preserve">% other revs,T2</t>
  </si>
  <si>
    <t xml:space="preserve">Cost of other sales</t>
  </si>
  <si>
    <t xml:space="preserve">Other O&amp;M</t>
  </si>
  <si>
    <t xml:space="preserve">% of PIS</t>
  </si>
  <si>
    <t xml:space="preserve">D&amp;A</t>
  </si>
  <si>
    <t xml:space="preserve">% ebitda</t>
  </si>
  <si>
    <t xml:space="preserve">Taxes other than income taxes</t>
  </si>
  <si>
    <t xml:space="preserve">Other Income and Expense</t>
  </si>
  <si>
    <t xml:space="preserve">% all revs</t>
  </si>
  <si>
    <t xml:space="preserve">Earnings from equity method investments</t>
  </si>
  <si>
    <t xml:space="preserve">Other income (expense)</t>
  </si>
  <si>
    <t xml:space="preserve">% EBIT</t>
  </si>
  <si>
    <t xml:space="preserve">Income Taxes</t>
  </si>
  <si>
    <t xml:space="preserve">Balance Sheet</t>
  </si>
  <si>
    <t xml:space="preserve">Current Assets</t>
  </si>
  <si>
    <t xml:space="preserve">Accts Receivable</t>
  </si>
  <si>
    <t xml:space="preserve">PP&amp;E</t>
  </si>
  <si>
    <t xml:space="preserve">avg T5 less 2016</t>
  </si>
  <si>
    <t xml:space="preserve">Utility plant in service</t>
  </si>
  <si>
    <t xml:space="preserve">Current Liabilities</t>
  </si>
  <si>
    <t xml:space="preserve">% all exps</t>
  </si>
  <si>
    <t xml:space="preserve">Accts Payable</t>
  </si>
  <si>
    <t xml:space="preserve">Firm</t>
  </si>
  <si>
    <t xml:space="preserve">Provisions for doubtful AR</t>
  </si>
  <si>
    <t xml:space="preserve">COGS (% of revenues)</t>
  </si>
  <si>
    <t xml:space="preserve">Accounts Payable (days) </t>
  </si>
  <si>
    <t xml:space="preserve">Inventory (days)</t>
  </si>
  <si>
    <t xml:space="preserve">SG&amp;A growth (% of revenues)</t>
  </si>
  <si>
    <t xml:space="preserve">R&amp;D growth </t>
  </si>
  <si>
    <t xml:space="preserve">Prepaid Expenses (% of COGS and SGA)</t>
  </si>
  <si>
    <t xml:space="preserve">Accrued Expenses (% of COGS and SGA)</t>
  </si>
  <si>
    <t xml:space="preserve">Depreciation (years)</t>
  </si>
  <si>
    <t xml:space="preserve">Amortization (years)</t>
  </si>
  <si>
    <t xml:space="preserve">Law</t>
  </si>
  <si>
    <t xml:space="preserve">Income Taxes rate </t>
  </si>
  <si>
    <t xml:space="preserve">Changes in Deferred Income taxes</t>
  </si>
  <si>
    <t xml:space="preserve">Nothing</t>
  </si>
  <si>
    <t xml:space="preserve">Changes in Income taxes payable</t>
  </si>
  <si>
    <t xml:space="preserve">Required Cash Balances (% of revenues)</t>
  </si>
  <si>
    <t xml:space="preserve">Cash Flow - Investment</t>
  </si>
  <si>
    <t xml:space="preserve">Choice</t>
  </si>
  <si>
    <t xml:space="preserve">Investment in securities</t>
  </si>
  <si>
    <t xml:space="preserve">Trading</t>
  </si>
  <si>
    <t xml:space="preserve">Held-to-Maturity</t>
  </si>
  <si>
    <t xml:space="preserve">Industry</t>
  </si>
  <si>
    <t xml:space="preserve">Investment in Plant, Property and Equipment</t>
  </si>
  <si>
    <t xml:space="preserve">Investment in Intangibles</t>
  </si>
  <si>
    <t xml:space="preserve">Cash Flow - Financing</t>
  </si>
  <si>
    <t xml:space="preserve">Proceeds from Issuance of Loans</t>
  </si>
  <si>
    <t xml:space="preserve">Proceeds from Issuance of Debentures</t>
  </si>
  <si>
    <t xml:space="preserve">Proceeds from Issuance of Other Long-Term Debt </t>
  </si>
  <si>
    <t xml:space="preserve">Contract</t>
  </si>
  <si>
    <t xml:space="preserve">Repayment of Loans</t>
  </si>
  <si>
    <t xml:space="preserve">Repayment of Debentures</t>
  </si>
  <si>
    <t xml:space="preserve">Current Portion of Long Term Debt</t>
  </si>
  <si>
    <t xml:space="preserve">Proceeds from Issuance of Preferred Stock</t>
  </si>
  <si>
    <t xml:space="preserve">Number of new stocks issued</t>
  </si>
  <si>
    <t xml:space="preserve">Proceeds from Issuance of Common Stock</t>
  </si>
  <si>
    <t xml:space="preserve">Number of treasury stock purchased at cost</t>
  </si>
  <si>
    <t xml:space="preserve">Number of treasury stock sold</t>
  </si>
  <si>
    <t xml:space="preserve">Proceeds from sale of Treasury Stock</t>
  </si>
  <si>
    <t xml:space="preserve">Cost of purchasing treasury stock </t>
  </si>
  <si>
    <t xml:space="preserve">Cash Flows - Dividends (see Income Statement)</t>
  </si>
  <si>
    <t xml:space="preserve">Effect of exchange rate on cash</t>
  </si>
  <si>
    <t xml:space="preserve">P/E Industry multiple </t>
  </si>
  <si>
    <t xml:space="preserve">Projection</t>
  </si>
  <si>
    <t xml:space="preserve">Operating Revenues</t>
  </si>
  <si>
    <t xml:space="preserve">Retail electric revenues</t>
  </si>
  <si>
    <t xml:space="preserve">prime</t>
  </si>
  <si>
    <t xml:space="preserve">Wholesale electric revenues</t>
  </si>
  <si>
    <t xml:space="preserve">Other electric revenues</t>
  </si>
  <si>
    <t xml:space="preserve">secondary</t>
  </si>
  <si>
    <t xml:space="preserve">Natural gas revenues</t>
  </si>
  <si>
    <t xml:space="preserve">Other revenues</t>
  </si>
  <si>
    <t xml:space="preserve">Total operating revenues</t>
  </si>
  <si>
    <t xml:space="preserve">summary</t>
  </si>
  <si>
    <t xml:space="preserve">Operating Expenses</t>
  </si>
  <si>
    <t xml:space="preserve">Other operations and maintenance</t>
  </si>
  <si>
    <t xml:space="preserve">EBITDA</t>
  </si>
  <si>
    <t xml:space="preserve">Depreciation and amortization</t>
  </si>
  <si>
    <t xml:space="preserve">mechanical</t>
  </si>
  <si>
    <t xml:space="preserve">Estimated loss on Kemper IGCC</t>
  </si>
  <si>
    <t xml:space="preserve">Total operating expenses</t>
  </si>
  <si>
    <t xml:space="preserve">Operating Income</t>
  </si>
  <si>
    <t xml:space="preserve">Other Income and (Expense)</t>
  </si>
  <si>
    <t xml:space="preserve">Allowance for equity funds used during construction</t>
  </si>
  <si>
    <t xml:space="preserve">Interest expense, net of amounts capitalized</t>
  </si>
  <si>
    <t xml:space="preserve">Other income (expense), net</t>
  </si>
  <si>
    <t xml:space="preserve">Total other income and (expense)</t>
  </si>
  <si>
    <t xml:space="preserve">Earnings before Income Taxes</t>
  </si>
  <si>
    <t xml:space="preserve">Consolidated Net Income</t>
  </si>
  <si>
    <t xml:space="preserve">Less:</t>
  </si>
  <si>
    <t xml:space="preserve">Dividends on preferred and preference stock of subsidiaries</t>
  </si>
  <si>
    <t xml:space="preserve">Net income attributable to noncontrolling interests</t>
  </si>
  <si>
    <t xml:space="preserve">Consolidated net income attributable to Southern</t>
  </si>
  <si>
    <t xml:space="preserve">NI before D&amp;A</t>
  </si>
  <si>
    <t xml:space="preserve">Before taxes</t>
  </si>
  <si>
    <t xml:space="preserve">CapEx (deltaPPE - D&amp;A)</t>
  </si>
  <si>
    <t xml:space="preserve">Common Stock Data</t>
  </si>
  <si>
    <t xml:space="preserve">EPS</t>
  </si>
  <si>
    <t xml:space="preserve">Basic</t>
  </si>
  <si>
    <t xml:space="preserve">Diluted</t>
  </si>
  <si>
    <t xml:space="preserve">Average number of shares of common stock outstanding (M)</t>
  </si>
  <si>
    <t xml:space="preserve">% of deltaPPE</t>
  </si>
  <si>
    <t xml:space="preserve">Operating Income (EBIT)</t>
  </si>
  <si>
    <t xml:space="preserve">Net Income</t>
  </si>
  <si>
    <t xml:space="preserve">EBIT</t>
  </si>
  <si>
    <t xml:space="preserve">- Taxes</t>
  </si>
  <si>
    <t xml:space="preserve">+ D&amp;A</t>
  </si>
  <si>
    <t xml:space="preserve">- CapEx</t>
  </si>
  <si>
    <t xml:space="preserve">+ NWC</t>
  </si>
  <si>
    <t xml:space="preserve">FCF</t>
  </si>
  <si>
    <t xml:space="preserve">Dividend</t>
  </si>
  <si>
    <t xml:space="preserve">Net FCF</t>
  </si>
  <si>
    <t xml:space="preserve">PV</t>
  </si>
  <si>
    <t xml:space="preserve">NPV</t>
  </si>
  <si>
    <t xml:space="preserve">DPS</t>
  </si>
  <si>
    <t xml:space="preserve">% YOY growth</t>
  </si>
  <si>
    <t xml:space="preserve">Shares outstanding</t>
  </si>
  <si>
    <t xml:space="preserve">NPV of cash flows</t>
  </si>
  <si>
    <t xml:space="preserve">PV(Terminal value)</t>
  </si>
  <si>
    <t xml:space="preserve">Enterprise Value</t>
  </si>
  <si>
    <t xml:space="preserve">- Net debt</t>
  </si>
  <si>
    <t xml:space="preserve">Equity value</t>
  </si>
  <si>
    <t xml:space="preserve">Implied price/share</t>
  </si>
  <si>
    <t xml:space="preserve">Nuclear project</t>
  </si>
  <si>
    <t xml:space="preserve">Dividend growth rate</t>
  </si>
  <si>
    <t xml:space="preserve">Discount rate (WACC)</t>
  </si>
  <si>
    <t xml:space="preserve">CapEx baseline growth</t>
  </si>
  <si>
    <t xml:space="preserve">Growth rate</t>
  </si>
  <si>
    <t xml:space="preserve">Balance Sheet:</t>
  </si>
  <si>
    <t xml:space="preserve">Property, Plant, and Equipment:</t>
  </si>
  <si>
    <t xml:space="preserve">In service</t>
  </si>
  <si>
    <t xml:space="preserve">Less: accumulated depreciation</t>
  </si>
  <si>
    <t xml:space="preserve">Plant in service, net of depreciation</t>
  </si>
  <si>
    <t xml:space="preserve">Other utility plant, net</t>
  </si>
  <si>
    <t xml:space="preserve">Nuclear fuel, at amortized cost</t>
  </si>
  <si>
    <t xml:space="preserve">Construction work in progress</t>
  </si>
  <si>
    <t xml:space="preserve">Total PP&amp;E</t>
  </si>
  <si>
    <t xml:space="preserve">Assets</t>
  </si>
  <si>
    <t xml:space="preserve">Cash and cash equivalents</t>
  </si>
  <si>
    <t xml:space="preserve">Receivables:</t>
  </si>
  <si>
    <t xml:space="preserve">Customer accounts receivable</t>
  </si>
  <si>
    <t xml:space="preserve">Energy marketing receivable</t>
  </si>
  <si>
    <t xml:space="preserve">Unbilled revenues (rolled into CAR)</t>
  </si>
  <si>
    <t xml:space="preserve">Under recovered fuel clause revenues</t>
  </si>
  <si>
    <t xml:space="preserve">Income taxes receivable, current</t>
  </si>
  <si>
    <t xml:space="preserve">Other accounts and notes receivable</t>
  </si>
  <si>
    <t xml:space="preserve">Accumulated provision for uncollectible accounts</t>
  </si>
  <si>
    <t xml:space="preserve">Materials and supplies</t>
  </si>
  <si>
    <t xml:space="preserve">Fossil fuel for generation</t>
  </si>
  <si>
    <t xml:space="preserve">Vacation Pay (rollup for misc CAs)</t>
  </si>
  <si>
    <t xml:space="preserve">Natural gas for sale</t>
  </si>
  <si>
    <t xml:space="preserve">Prepaid expenses</t>
  </si>
  <si>
    <t xml:space="preserve">Deferred income taxes, current</t>
  </si>
  <si>
    <t xml:space="preserve">Other regulatory assets, current</t>
  </si>
  <si>
    <t xml:space="preserve">Other current assets</t>
  </si>
  <si>
    <t xml:space="preserve">Total current assets</t>
  </si>
  <si>
    <t xml:space="preserve">Other Property and Investments:</t>
  </si>
  <si>
    <t xml:space="preserve">Goodwill</t>
  </si>
  <si>
    <t xml:space="preserve">Equity investments in unconsolidated subsidiaries</t>
  </si>
  <si>
    <t xml:space="preserve">Other intangible assets*</t>
  </si>
  <si>
    <t xml:space="preserve">Nuclear decommissioning trusts, at fair value</t>
  </si>
  <si>
    <t xml:space="preserve">Leveraged leases</t>
  </si>
  <si>
    <t xml:space="preserve">Misc. property and investments</t>
  </si>
  <si>
    <t xml:space="preserve">Total other property and investments</t>
  </si>
  <si>
    <t xml:space="preserve">Deferred Charges and Other Assets:</t>
  </si>
  <si>
    <t xml:space="preserve">Deferred charges related to income taxes</t>
  </si>
  <si>
    <t xml:space="preserve">Prepaid pension costs</t>
  </si>
  <si>
    <t xml:space="preserve">Unamortized debt issuance expense</t>
  </si>
  <si>
    <t xml:space="preserve">Unamortized loss on reacquired debt</t>
  </si>
  <si>
    <t xml:space="preserve">Other regulatory assets, deferred</t>
  </si>
  <si>
    <t xml:space="preserve">Income taxes receivable, non-current</t>
  </si>
  <si>
    <t xml:space="preserve">Other deferred charges and assets</t>
  </si>
  <si>
    <t xml:space="preserve">Total deferred charges and other assets</t>
  </si>
  <si>
    <t xml:space="preserve">Total Assets</t>
  </si>
  <si>
    <t xml:space="preserve">Liabilities and Stockholders' Equity</t>
  </si>
  <si>
    <t xml:space="preserve">Securities due within one year</t>
  </si>
  <si>
    <t xml:space="preserve">Interest-bearing refundable deposits</t>
  </si>
  <si>
    <t xml:space="preserve">Notes payable</t>
  </si>
  <si>
    <t xml:space="preserve">Energy marketing trade payables</t>
  </si>
  <si>
    <t xml:space="preserve">Accounts payable</t>
  </si>
  <si>
    <t xml:space="preserve">Customer deposits</t>
  </si>
  <si>
    <t xml:space="preserve">Accrued taxes:</t>
  </si>
  <si>
    <t xml:space="preserve">Accrued income taxes</t>
  </si>
  <si>
    <t xml:space="preserve">Unrecognized tax benefits</t>
  </si>
  <si>
    <t xml:space="preserve">Other accrued taxes</t>
  </si>
  <si>
    <t xml:space="preserve">Accrued interest</t>
  </si>
  <si>
    <t xml:space="preserve">Accrued vacation pay</t>
  </si>
  <si>
    <t xml:space="preserve">Accrued compensation</t>
  </si>
  <si>
    <t xml:space="preserve">Asset retirement obligations, current</t>
  </si>
  <si>
    <t xml:space="preserve">Liabilities from risk management activities</t>
  </si>
  <si>
    <t xml:space="preserve">Aqcuisitions payable</t>
  </si>
  <si>
    <t xml:space="preserve">Other regulatory liabilities, current</t>
  </si>
  <si>
    <t xml:space="preserve">Mirror CWIP</t>
  </si>
  <si>
    <t xml:space="preserve">Other current liabilities</t>
  </si>
  <si>
    <t xml:space="preserve">Total current liabilities</t>
  </si>
  <si>
    <t xml:space="preserve">Long-Term Debt</t>
  </si>
  <si>
    <t xml:space="preserve">Deferred Credits and Other Liabilities</t>
  </si>
  <si>
    <t xml:space="preserve">Accumulated deferred income taxes</t>
  </si>
  <si>
    <t xml:space="preserve">Deferred credits related to income taxes</t>
  </si>
  <si>
    <t xml:space="preserve">Accumulated deferred ITCs</t>
  </si>
  <si>
    <t xml:space="preserve">Employee benefit obligations</t>
  </si>
  <si>
    <t xml:space="preserve">Asset retirement obligations, deferred</t>
  </si>
  <si>
    <t xml:space="preserve">Accrued environmental remediation</t>
  </si>
  <si>
    <t xml:space="preserve">Other cost of removal obligations</t>
  </si>
  <si>
    <t xml:space="preserve">Other regulatory liabilities, deferred</t>
  </si>
  <si>
    <t xml:space="preserve">Other deferred credits and liabilities</t>
  </si>
  <si>
    <t xml:space="preserve">Total deferred credits and other liabilities</t>
  </si>
  <si>
    <t xml:space="preserve">Total Liabilities</t>
  </si>
  <si>
    <t xml:space="preserve">Redeemable Preferred Stock of Subsidiaries</t>
  </si>
  <si>
    <t xml:space="preserve">Redeemable Noncontrolling Interests</t>
  </si>
  <si>
    <t xml:space="preserve">Total Stockholders' Equity</t>
  </si>
  <si>
    <t xml:space="preserve">Total Liabilities and Stockholders' Equity</t>
  </si>
  <si>
    <t xml:space="preserve">Check</t>
  </si>
  <si>
    <t xml:space="preserve">Working Capital Schedule</t>
  </si>
  <si>
    <t xml:space="preserve">Customer accts receivable and unbilled revenues</t>
  </si>
  <si>
    <t xml:space="preserve">Beginning of period</t>
  </si>
  <si>
    <t xml:space="preserve">% of non-NG revenues</t>
  </si>
  <si>
    <t xml:space="preserve">Increase (Decrease)</t>
  </si>
  <si>
    <t xml:space="preserve">End of period</t>
  </si>
  <si>
    <t xml:space="preserve">Energy marketing receivables</t>
  </si>
  <si>
    <t xml:space="preserve">% of gas revenues</t>
  </si>
  <si>
    <t xml:space="preserve">Other receivables</t>
  </si>
  <si>
    <t xml:space="preserve">% of revenues</t>
  </si>
  <si>
    <t xml:space="preserve">% of electric revenues</t>
  </si>
  <si>
    <t xml:space="preserve">% of NG costs</t>
  </si>
  <si>
    <t xml:space="preserve">% of total costs</t>
  </si>
  <si>
    <t xml:space="preserve">Misc current assets</t>
  </si>
  <si>
    <t xml:space="preserve">Accumulated depreciation</t>
  </si>
  <si>
    <t xml:space="preserve">% of PP&amp;E in service</t>
  </si>
  <si>
    <t xml:space="preserve">Nuclear decommissioning trusts</t>
  </si>
  <si>
    <t xml:space="preserve">Increase (Decrease) (YOY absolute)</t>
  </si>
  <si>
    <t xml:space="preserve">% of non-NG costs</t>
  </si>
  <si>
    <t xml:space="preserve">Accounts receivable</t>
  </si>
  <si>
    <t xml:space="preserve">Operating Activities</t>
  </si>
  <si>
    <t xml:space="preserve">Consolidated net income</t>
  </si>
  <si>
    <t xml:space="preserve">Adjustments to reconcile CNI to net cash provided from operating activities</t>
  </si>
  <si>
    <t xml:space="preserve">Depreciation and amortization, total</t>
  </si>
  <si>
    <t xml:space="preserve">Deferred income taxes</t>
  </si>
  <si>
    <t xml:space="preserve">Investment tax credits</t>
  </si>
  <si>
    <t xml:space="preserve">Collateral deposits</t>
  </si>
  <si>
    <t xml:space="preserve">Pension and postretirement funding</t>
  </si>
  <si>
    <t xml:space="preserve">Settlement of asset retirement obligations</t>
  </si>
  <si>
    <t xml:space="preserve">Stock-based compensation expense</t>
  </si>
  <si>
    <t xml:space="preserve">Hedge settlements</t>
  </si>
  <si>
    <t xml:space="preserve">Other, net</t>
  </si>
  <si>
    <t xml:space="preserve">Changes in certain current assets and liabilities</t>
  </si>
  <si>
    <t xml:space="preserve">Receivables</t>
  </si>
  <si>
    <t xml:space="preserve">Accrued taxes</t>
  </si>
  <si>
    <t xml:space="preserve">Retail fuel cost over recovery</t>
  </si>
  <si>
    <t xml:space="preserve">Net cash provided from operating activities</t>
  </si>
  <si>
    <t xml:space="preserve">Investing Activities</t>
  </si>
  <si>
    <t xml:space="preserve">Business acquisitions, net of cash acquired</t>
  </si>
  <si>
    <t xml:space="preserve">Property additions</t>
  </si>
  <si>
    <t xml:space="preserve">Proceeds pursuant to the Toshiba Guarantee, net of joint owner portion</t>
  </si>
  <si>
    <t xml:space="preserve">Investment in restricted cash</t>
  </si>
  <si>
    <t xml:space="preserve">Distribution of restricted cash</t>
  </si>
  <si>
    <t xml:space="preserve">Nuclear decommissioning trust fund purchases</t>
  </si>
  <si>
    <t xml:space="preserve">Nuclear decommissioning trust fund sales</t>
  </si>
  <si>
    <t xml:space="preserve">Cost of removal, net of salvage</t>
  </si>
  <si>
    <t xml:space="preserve">Change in construction payables, net</t>
  </si>
  <si>
    <t xml:space="preserve">Investment in unconsolidated subsidiaries</t>
  </si>
  <si>
    <t xml:space="preserve">Payments pursuant to LTSAs</t>
  </si>
  <si>
    <t xml:space="preserve">Other investing activities</t>
  </si>
  <si>
    <t xml:space="preserve">Net cash used for investing activities</t>
  </si>
  <si>
    <t xml:space="preserve">Financing Activities</t>
  </si>
  <si>
    <t xml:space="preserve">Increase (decrease) in notes payable, net</t>
  </si>
  <si>
    <t xml:space="preserve">Proceeds</t>
  </si>
  <si>
    <t xml:space="preserve">Long-term debt</t>
  </si>
  <si>
    <t xml:space="preserve">Common stock</t>
  </si>
  <si>
    <t xml:space="preserve">Preferred stock</t>
  </si>
  <si>
    <t xml:space="preserve">Short-term borrowings</t>
  </si>
  <si>
    <t xml:space="preserve">Redemptions and repurchases</t>
  </si>
  <si>
    <t xml:space="preserve">Preferred and preference stock</t>
  </si>
  <si>
    <t xml:space="preserve">Distributions to noncontrolling interests</t>
  </si>
  <si>
    <t xml:space="preserve">Capital contributions from noncontrolling interests</t>
  </si>
  <si>
    <t xml:space="preserve">Payment of common stock dividends</t>
  </si>
  <si>
    <t xml:space="preserve">Payment of preferred dividends</t>
  </si>
  <si>
    <t xml:space="preserve">Other financing activities</t>
  </si>
  <si>
    <t xml:space="preserve">Net cash provided from financing activities</t>
  </si>
  <si>
    <t xml:space="preserve">Net Change in Cash and Cash Equivalents</t>
  </si>
  <si>
    <t xml:space="preserve">Cash and Cash Equivalents at Beginning of Year</t>
  </si>
  <si>
    <t xml:space="preserve">Cash and Cash Equivalents at End of Year</t>
  </si>
  <si>
    <t xml:space="preserve">Net income</t>
  </si>
  <si>
    <t xml:space="preserve">'- CapEx</t>
  </si>
  <si>
    <t xml:space="preserve">'- delta WC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</si>
</sst>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%"/>
    <numFmt numFmtId="166" formatCode="0.00"/>
    <numFmt numFmtId="167" formatCode="0.0%"/>
    <numFmt numFmtId="168" formatCode="0%"/>
    <numFmt numFmtId="169" formatCode="0.0"/>
    <numFmt numFmtId="170" formatCode="0"/>
    <numFmt numFmtId="171" formatCode="#,##0"/>
    <numFmt numFmtId="172" formatCode="_(\$* #,##0_);_(\$* \(#,##0\);_(\$* \-??_);_(@_)"/>
    <numFmt numFmtId="173" formatCode="_(\$* #,##0.00_);_(\$* \(#,##0.00\);_(\$* \-??_);_(@_)"/>
    <numFmt numFmtId="174" formatCode="\$#,##0.00;&quot;-$&quot;#,##0.00"/>
    <numFmt numFmtId="175" formatCode="_(\$* #,##0.000_);_(\$* \(#,##0.000\);_(\$* \-??_);_(@_)"/>
    <numFmt numFmtId="176" formatCode="0.0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FF00"/>
      <name val="Calibri"/>
      <family val="2"/>
      <charset val="1"/>
    </font>
    <font>
      <sz val="12"/>
      <name val="Calibri"/>
      <family val="2"/>
      <charset val="1"/>
    </font>
    <font>
      <sz val="12"/>
      <color rgb="FFFFFF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767171"/>
        <bgColor rgb="FF44546A"/>
      </patternFill>
    </fill>
    <fill>
      <patternFill patternType="solid">
        <fgColor rgb="FF44546A"/>
        <bgColor rgb="FF333399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6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6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72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13" fillId="0" borderId="7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72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3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7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3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67171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0"/>
  <sheetViews>
    <sheetView windowProtection="false" showFormulas="false" showGridLines="true" showRowColHeaders="true" showZeros="true" rightToLeft="false" tabSelected="false" showOutlineSymbols="true" defaultGridColor="true" view="normal" topLeftCell="E7" colorId="64" zoomScale="75" zoomScaleNormal="75" zoomScalePageLayoutView="100" workbookViewId="0">
      <selection pane="topLeft" activeCell="M14" activeCellId="0" sqref="M14"/>
    </sheetView>
  </sheetViews>
  <sheetFormatPr defaultRowHeight="15"/>
  <cols>
    <col collapsed="false" hidden="false" max="1" min="1" style="0" width="12.9595141700405"/>
    <col collapsed="false" hidden="false" max="2" min="2" style="0" width="27.2064777327935"/>
    <col collapsed="false" hidden="false" max="5" min="3" style="0" width="8.57085020242915"/>
    <col collapsed="false" hidden="false" max="6" min="6" style="0" width="20.7813765182186"/>
    <col collapsed="false" hidden="false" max="11" min="7" style="0" width="8.57085020242915"/>
    <col collapsed="false" hidden="false" max="12" min="12" style="0" width="12.6396761133603"/>
    <col collapsed="false" hidden="false" max="23" min="13" style="0" width="8.57085020242915"/>
    <col collapsed="false" hidden="false" max="24" min="24" style="0" width="11.1417004048583"/>
    <col collapsed="false" hidden="false" max="1025" min="25" style="0" width="8.57085020242915"/>
  </cols>
  <sheetData>
    <row r="1" customFormat="false" ht="26.25" hidden="false" customHeight="false" outlineLevel="0" collapsed="false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3"/>
      <c r="S1" s="3"/>
      <c r="T1" s="3"/>
      <c r="U1" s="3"/>
      <c r="V1" s="3"/>
      <c r="W1" s="3"/>
      <c r="X1" s="3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8.75" hidden="false" customHeight="false" outlineLevel="0" collapsed="false">
      <c r="A4" s="3"/>
      <c r="B4" s="3"/>
      <c r="C4" s="4" t="s">
        <v>3</v>
      </c>
      <c r="D4" s="5"/>
      <c r="E4" s="5"/>
      <c r="F4" s="6"/>
      <c r="G4" s="7" t="n">
        <v>2012</v>
      </c>
      <c r="H4" s="7" t="n">
        <v>2013</v>
      </c>
      <c r="I4" s="7" t="n">
        <v>2014</v>
      </c>
      <c r="J4" s="7" t="n">
        <v>2015</v>
      </c>
      <c r="K4" s="7" t="n">
        <v>2016</v>
      </c>
      <c r="L4" s="7" t="n">
        <v>2017</v>
      </c>
      <c r="M4" s="7" t="n">
        <v>2018</v>
      </c>
      <c r="N4" s="7" t="n">
        <v>2019</v>
      </c>
      <c r="O4" s="7" t="n">
        <v>2020</v>
      </c>
      <c r="P4" s="7" t="n">
        <v>2021</v>
      </c>
      <c r="Q4" s="7" t="n">
        <v>2022</v>
      </c>
      <c r="R4" s="7" t="n">
        <v>2023</v>
      </c>
      <c r="S4" s="7" t="n">
        <v>2024</v>
      </c>
      <c r="T4" s="7" t="n">
        <v>2025</v>
      </c>
      <c r="U4" s="7" t="n">
        <v>2026</v>
      </c>
      <c r="V4" s="7" t="n">
        <v>2027</v>
      </c>
      <c r="W4" s="3"/>
      <c r="X4" s="8" t="s">
        <v>4</v>
      </c>
    </row>
    <row r="5" customFormat="false" ht="15.75" hidden="false" customHeight="false" outlineLevel="0" collapsed="false">
      <c r="A5" s="9" t="s">
        <v>5</v>
      </c>
      <c r="B5" s="3"/>
      <c r="C5" s="10" t="s">
        <v>6</v>
      </c>
      <c r="D5" s="10"/>
      <c r="E5" s="10"/>
      <c r="F5" s="10"/>
      <c r="G5" s="10"/>
      <c r="H5" s="10"/>
      <c r="I5" s="10"/>
      <c r="J5" s="10"/>
      <c r="K5" s="10"/>
      <c r="L5" s="11" t="n">
        <v>0.02</v>
      </c>
      <c r="M5" s="11" t="n">
        <v>0.02</v>
      </c>
      <c r="N5" s="11" t="n">
        <v>0.02</v>
      </c>
      <c r="O5" s="11" t="n">
        <v>0.02</v>
      </c>
      <c r="P5" s="11" t="n">
        <v>0.02</v>
      </c>
      <c r="Q5" s="11" t="n">
        <v>0.02</v>
      </c>
      <c r="R5" s="11" t="n">
        <v>0.02</v>
      </c>
      <c r="S5" s="12" t="n">
        <v>0.02</v>
      </c>
      <c r="T5" s="12" t="n">
        <v>0.02</v>
      </c>
      <c r="U5" s="12" t="n">
        <v>0.02</v>
      </c>
      <c r="V5" s="12" t="n">
        <v>0.02</v>
      </c>
      <c r="W5" s="3"/>
      <c r="X5" s="13" t="n">
        <f aca="false">(L5+M5+N5+O5+P5+Q5+R5+S5+T5+U5)/COUNT(L5:U5)</f>
        <v>0.02</v>
      </c>
    </row>
    <row r="6" customFormat="false" ht="15.75" hidden="false" customHeight="false" outlineLevel="0" collapsed="false">
      <c r="A6" s="14" t="s">
        <v>7</v>
      </c>
      <c r="B6" s="3"/>
      <c r="C6" s="10" t="s">
        <v>8</v>
      </c>
      <c r="D6" s="10"/>
      <c r="E6" s="10"/>
      <c r="F6" s="10"/>
      <c r="G6" s="10"/>
      <c r="H6" s="10"/>
      <c r="I6" s="10"/>
      <c r="J6" s="10"/>
      <c r="K6" s="10"/>
      <c r="L6" s="11" t="n">
        <v>0.025</v>
      </c>
      <c r="M6" s="11" t="n">
        <v>0.025</v>
      </c>
      <c r="N6" s="11" t="n">
        <v>0.025</v>
      </c>
      <c r="O6" s="11" t="n">
        <v>0.025</v>
      </c>
      <c r="P6" s="11" t="n">
        <v>0.025</v>
      </c>
      <c r="Q6" s="11" t="n">
        <v>0.025</v>
      </c>
      <c r="R6" s="11" t="n">
        <v>0.025</v>
      </c>
      <c r="S6" s="12" t="n">
        <v>0.025</v>
      </c>
      <c r="T6" s="12" t="n">
        <v>0.025</v>
      </c>
      <c r="U6" s="12" t="n">
        <v>0.025</v>
      </c>
      <c r="V6" s="12" t="n">
        <v>0.025</v>
      </c>
      <c r="W6" s="3"/>
      <c r="X6" s="13" t="n">
        <f aca="false">(L6+M6+N6+O6+P6+Q6+R6+S6+T6+U6)/COUNT(L6:U6)</f>
        <v>0.025</v>
      </c>
    </row>
    <row r="7" customFormat="false" ht="15.75" hidden="false" customHeight="false" outlineLevel="0" collapsed="false">
      <c r="A7" s="14" t="s">
        <v>7</v>
      </c>
      <c r="B7" s="3"/>
      <c r="C7" s="10" t="s">
        <v>9</v>
      </c>
      <c r="D7" s="10"/>
      <c r="E7" s="10"/>
      <c r="F7" s="10"/>
      <c r="G7" s="10"/>
      <c r="H7" s="10"/>
      <c r="I7" s="10"/>
      <c r="J7" s="10"/>
      <c r="K7" s="10"/>
      <c r="L7" s="12" t="n">
        <v>0.04</v>
      </c>
      <c r="M7" s="12" t="n">
        <v>0.04</v>
      </c>
      <c r="N7" s="12" t="n">
        <v>0.04</v>
      </c>
      <c r="O7" s="12" t="n">
        <v>0.04</v>
      </c>
      <c r="P7" s="12" t="n">
        <v>0.04</v>
      </c>
      <c r="Q7" s="12" t="n">
        <v>0.04</v>
      </c>
      <c r="R7" s="12" t="n">
        <v>0.04</v>
      </c>
      <c r="S7" s="12" t="n">
        <v>0.04</v>
      </c>
      <c r="T7" s="12" t="n">
        <v>0.04</v>
      </c>
      <c r="U7" s="12" t="n">
        <v>0.04</v>
      </c>
      <c r="V7" s="12" t="n">
        <v>0.04</v>
      </c>
      <c r="W7" s="3"/>
      <c r="X7" s="13" t="n">
        <f aca="false">(L7+M7+N7+O7+P7+Q7+R7+S7+T7+U7)/COUNT(L7:U7)</f>
        <v>0.04</v>
      </c>
    </row>
    <row r="8" customFormat="false" ht="15.75" hidden="false" customHeight="false" outlineLevel="0" collapsed="false">
      <c r="A8" s="14" t="s">
        <v>10</v>
      </c>
      <c r="B8" s="3"/>
      <c r="C8" s="10" t="s">
        <v>11</v>
      </c>
      <c r="D8" s="10"/>
      <c r="E8" s="10"/>
      <c r="F8" s="10"/>
      <c r="G8" s="10"/>
      <c r="H8" s="10"/>
      <c r="I8" s="10"/>
      <c r="J8" s="10"/>
      <c r="K8" s="10"/>
      <c r="L8" s="12" t="n">
        <v>0.05</v>
      </c>
      <c r="M8" s="12" t="n">
        <v>0.05</v>
      </c>
      <c r="N8" s="12" t="n">
        <v>0.05</v>
      </c>
      <c r="O8" s="12" t="n">
        <v>0.05</v>
      </c>
      <c r="P8" s="12" t="n">
        <v>0.05</v>
      </c>
      <c r="Q8" s="12" t="n">
        <v>0.05</v>
      </c>
      <c r="R8" s="12" t="n">
        <v>0.05</v>
      </c>
      <c r="S8" s="12" t="n">
        <v>0.05</v>
      </c>
      <c r="T8" s="12" t="n">
        <v>0.05</v>
      </c>
      <c r="U8" s="12" t="n">
        <v>0.05</v>
      </c>
      <c r="V8" s="12" t="n">
        <v>0.05</v>
      </c>
      <c r="W8" s="3"/>
      <c r="X8" s="13" t="n">
        <f aca="false">(L8+M8+N8+O8+P8+Q8+R8+S8+T8+U8)/COUNT(L8:U8)</f>
        <v>0.05</v>
      </c>
    </row>
    <row r="9" customFormat="false" ht="15.75" hidden="false" customHeight="false" outlineLevel="0" collapsed="false">
      <c r="A9" s="14" t="s">
        <v>7</v>
      </c>
      <c r="B9" s="3"/>
      <c r="C9" s="10" t="s">
        <v>12</v>
      </c>
      <c r="D9" s="10"/>
      <c r="E9" s="10"/>
      <c r="F9" s="10"/>
      <c r="G9" s="10"/>
      <c r="H9" s="10"/>
      <c r="I9" s="10"/>
      <c r="J9" s="10"/>
      <c r="K9" s="10"/>
      <c r="L9" s="12" t="n">
        <v>0.0583</v>
      </c>
      <c r="M9" s="12" t="n">
        <v>0.0583</v>
      </c>
      <c r="N9" s="12" t="n">
        <v>0.0583</v>
      </c>
      <c r="O9" s="12" t="n">
        <v>0.0583</v>
      </c>
      <c r="P9" s="12" t="n">
        <v>0.0583</v>
      </c>
      <c r="Q9" s="12" t="n">
        <v>0.0583</v>
      </c>
      <c r="R9" s="12" t="n">
        <v>0.0583</v>
      </c>
      <c r="S9" s="12" t="n">
        <v>0.0583</v>
      </c>
      <c r="T9" s="12" t="n">
        <v>0.0583</v>
      </c>
      <c r="U9" s="12" t="n">
        <v>0.0583</v>
      </c>
      <c r="V9" s="12" t="n">
        <v>0.0583</v>
      </c>
      <c r="W9" s="3"/>
      <c r="X9" s="13" t="n">
        <f aca="false">(L9+M9+N9+O9+P9+Q9+R9+S9+T9+U9)/COUNT(L9:U9)</f>
        <v>0.0583</v>
      </c>
    </row>
    <row r="10" customFormat="false" ht="15.75" hidden="false" customHeight="false" outlineLevel="0" collapsed="false">
      <c r="A10" s="14" t="s">
        <v>7</v>
      </c>
      <c r="B10" s="3"/>
      <c r="C10" s="10" t="s">
        <v>13</v>
      </c>
      <c r="D10" s="10"/>
      <c r="E10" s="10"/>
      <c r="F10" s="10"/>
      <c r="G10" s="10"/>
      <c r="H10" s="10"/>
      <c r="I10" s="10"/>
      <c r="J10" s="10"/>
      <c r="K10" s="10"/>
      <c r="L10" s="12" t="n">
        <v>0.141318977119785</v>
      </c>
      <c r="M10" s="12" t="n">
        <v>0.141318977119785</v>
      </c>
      <c r="N10" s="12" t="n">
        <v>0.141318977119785</v>
      </c>
      <c r="O10" s="12" t="n">
        <v>0.141318977119785</v>
      </c>
      <c r="P10" s="12" t="n">
        <v>0.141318977119785</v>
      </c>
      <c r="Q10" s="15" t="n">
        <v>0.1413</v>
      </c>
      <c r="R10" s="15" t="n">
        <v>0.1413</v>
      </c>
      <c r="S10" s="15" t="n">
        <v>0.1413</v>
      </c>
      <c r="T10" s="15" t="n">
        <v>0.1413</v>
      </c>
      <c r="U10" s="15" t="n">
        <v>0.1413</v>
      </c>
      <c r="V10" s="15" t="n">
        <v>0.1413</v>
      </c>
      <c r="W10" s="3"/>
      <c r="X10" s="13" t="n">
        <f aca="false">(L10+M10+N10+O10+P10+Q10+R10+S10+T10+U10)/COUNT(L10:U10)</f>
        <v>0.141309488559893</v>
      </c>
    </row>
    <row r="11" customFormat="false" ht="15.75" hidden="false" customHeight="false" outlineLevel="0" collapsed="false">
      <c r="A11" s="14" t="s">
        <v>7</v>
      </c>
      <c r="B11" s="3"/>
      <c r="C11" s="10" t="s">
        <v>14</v>
      </c>
      <c r="D11" s="10"/>
      <c r="E11" s="10"/>
      <c r="F11" s="10"/>
      <c r="G11" s="10"/>
      <c r="H11" s="10"/>
      <c r="I11" s="10"/>
      <c r="J11" s="10"/>
      <c r="K11" s="10"/>
      <c r="L11" s="16" t="n">
        <v>13.4287440435197</v>
      </c>
      <c r="M11" s="16" t="n">
        <v>15.0469111846488</v>
      </c>
      <c r="N11" s="16" t="n">
        <v>14.5601115848762</v>
      </c>
      <c r="O11" s="16" t="n">
        <v>18.8475809391647</v>
      </c>
      <c r="P11" s="16" t="n">
        <v>22.5681799673991</v>
      </c>
      <c r="Q11" s="16" t="n">
        <v>32.1520303662588</v>
      </c>
      <c r="R11" s="16" t="n">
        <v>33.7916412526086</v>
      </c>
      <c r="S11" s="16" t="n">
        <v>32.8652221741117</v>
      </c>
      <c r="T11" s="16" t="n">
        <v>33.6652768241911</v>
      </c>
      <c r="U11" s="16" t="n">
        <v>34.5132277106638</v>
      </c>
      <c r="V11" s="16" t="n">
        <v>34.5132277106638</v>
      </c>
      <c r="W11" s="3"/>
      <c r="X11" s="17"/>
    </row>
    <row r="12" customFormat="false" ht="18.75" hidden="false" customHeight="false" outlineLevel="0" collapsed="false">
      <c r="A12" s="14"/>
      <c r="B12" s="3"/>
      <c r="C12" s="4" t="s">
        <v>15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8"/>
      <c r="R12" s="18"/>
      <c r="S12" s="18"/>
      <c r="T12" s="18"/>
      <c r="U12" s="18"/>
      <c r="V12" s="18"/>
      <c r="W12" s="3"/>
      <c r="X12" s="17"/>
    </row>
    <row r="13" customFormat="false" ht="15.75" hidden="false" customHeight="false" outlineLevel="0" collapsed="false">
      <c r="A13" s="14"/>
      <c r="B13" s="3"/>
      <c r="C13" s="19" t="s">
        <v>16</v>
      </c>
      <c r="D13" s="10"/>
      <c r="E13" s="10"/>
      <c r="F13" s="10"/>
      <c r="G13" s="10"/>
      <c r="H13" s="10"/>
      <c r="I13" s="10"/>
      <c r="J13" s="10"/>
      <c r="K13" s="10"/>
      <c r="L13" s="1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3"/>
      <c r="X13" s="17"/>
    </row>
    <row r="14" customFormat="false" ht="15.75" hidden="false" customHeight="false" outlineLevel="0" collapsed="false">
      <c r="A14" s="14" t="s">
        <v>17</v>
      </c>
      <c r="B14" s="3" t="s">
        <v>18</v>
      </c>
      <c r="C14" s="10"/>
      <c r="D14" s="10" t="s">
        <v>19</v>
      </c>
      <c r="E14" s="10"/>
      <c r="F14" s="10"/>
      <c r="G14" s="10"/>
      <c r="H14" s="10" t="n">
        <f aca="false">('Income Statement'!D3-'Income Statement'!C3)/'Income Statement'!C3</f>
        <v>0.0249524212307042</v>
      </c>
      <c r="I14" s="10" t="n">
        <f aca="false">('Income Statement'!E3-'Income Statement'!D3)/'Income Statement'!D3</f>
        <v>0.0693900006877106</v>
      </c>
      <c r="J14" s="10" t="n">
        <f aca="false">('Income Statement'!F3-'Income Statement'!E3)/'Income Statement'!E3</f>
        <v>-0.0362057877813505</v>
      </c>
      <c r="K14" s="10" t="n">
        <f aca="false">('Income Statement'!G3-'Income Statement'!F3)/'Income Statement'!F3</f>
        <v>0.0164809501568026</v>
      </c>
      <c r="L14" s="10" t="n">
        <f aca="false">('Income Statement'!H3-'Income Statement'!G3)/'Income Statement'!G3</f>
        <v>0.00630169358014966</v>
      </c>
      <c r="M14" s="20" t="n">
        <f aca="false">AVERAGE($H$14:$L$14)</f>
        <v>0.0161838555748033</v>
      </c>
      <c r="N14" s="20" t="n">
        <f aca="false">AVERAGE($H$14:$L$14)</f>
        <v>0.0161838555748033</v>
      </c>
      <c r="O14" s="20" t="n">
        <f aca="false">AVERAGE($H$14:$L$14)</f>
        <v>0.0161838555748033</v>
      </c>
      <c r="P14" s="20" t="n">
        <f aca="false">AVERAGE($H$14:$L$14)</f>
        <v>0.0161838555748033</v>
      </c>
      <c r="Q14" s="20" t="n">
        <f aca="false">AVERAGE($H$14:$L$14)</f>
        <v>0.0161838555748033</v>
      </c>
      <c r="R14" s="20" t="n">
        <f aca="false">AVERAGE($H$14:$L$14)</f>
        <v>0.0161838555748033</v>
      </c>
      <c r="S14" s="20" t="n">
        <f aca="false">AVERAGE($H$14:$L$14)</f>
        <v>0.0161838555748033</v>
      </c>
      <c r="T14" s="20" t="n">
        <f aca="false">AVERAGE($H$14:$L$14)</f>
        <v>0.0161838555748033</v>
      </c>
      <c r="U14" s="20" t="n">
        <f aca="false">AVERAGE($H$14:$L$14)</f>
        <v>0.0161838555748033</v>
      </c>
      <c r="V14" s="20" t="n">
        <f aca="false">AVERAGE($H$14:$L$14)</f>
        <v>0.0161838555748033</v>
      </c>
      <c r="W14" s="3"/>
      <c r="X14" s="13" t="n">
        <f aca="false">(L14+M14+N14+O14+P14+Q14+R14+S14+T14+U14)/COUNT(L14:U14)</f>
        <v>0.0151956393753379</v>
      </c>
    </row>
    <row r="15" customFormat="false" ht="15.75" hidden="false" customHeight="false" outlineLevel="0" collapsed="false">
      <c r="A15" s="14" t="s">
        <v>17</v>
      </c>
      <c r="B15" s="3" t="s">
        <v>18</v>
      </c>
      <c r="C15" s="10"/>
      <c r="D15" s="10" t="s">
        <v>20</v>
      </c>
      <c r="E15" s="10"/>
      <c r="F15" s="10"/>
      <c r="G15" s="10"/>
      <c r="H15" s="10" t="n">
        <f aca="false">('Income Statement'!D4-'Income Statement'!C4)/'Income Statement'!C4</f>
        <v>0.107462686567164</v>
      </c>
      <c r="I15" s="10" t="n">
        <f aca="false">('Income Statement'!E4-'Income Statement'!D4)/'Income Statement'!D4</f>
        <v>0.177358490566038</v>
      </c>
      <c r="J15" s="10" t="n">
        <f aca="false">('Income Statement'!F4-'Income Statement'!E4)/'Income Statement'!E4</f>
        <v>-0.176739926739927</v>
      </c>
      <c r="K15" s="10" t="n">
        <f aca="false">('Income Statement'!G4-'Income Statement'!F4)/'Income Statement'!F4</f>
        <v>0.0711902113459399</v>
      </c>
      <c r="L15" s="10" t="n">
        <f aca="false">('Income Statement'!H4-'Income Statement'!G4)/'Income Statement'!G4</f>
        <v>0.259605399792316</v>
      </c>
      <c r="M15" s="20" t="n">
        <f aca="false">AVERAGE($H$15:$L$15)</f>
        <v>0.0877753723063062</v>
      </c>
      <c r="N15" s="20" t="n">
        <f aca="false">AVERAGE($H$15:$L$15)</f>
        <v>0.0877753723063062</v>
      </c>
      <c r="O15" s="20" t="n">
        <f aca="false">AVERAGE($H$15:$L$15)</f>
        <v>0.0877753723063062</v>
      </c>
      <c r="P15" s="20" t="n">
        <f aca="false">AVERAGE($H$15:$L$15)</f>
        <v>0.0877753723063062</v>
      </c>
      <c r="Q15" s="20" t="n">
        <f aca="false">AVERAGE($H$15:$L$15)</f>
        <v>0.0877753723063062</v>
      </c>
      <c r="R15" s="20" t="n">
        <f aca="false">AVERAGE($H$15:$L$15)</f>
        <v>0.0877753723063062</v>
      </c>
      <c r="S15" s="20" t="n">
        <f aca="false">AVERAGE($H$15:$L$15)</f>
        <v>0.0877753723063062</v>
      </c>
      <c r="T15" s="20" t="n">
        <f aca="false">AVERAGE($H$15:$L$15)</f>
        <v>0.0877753723063062</v>
      </c>
      <c r="U15" s="20" t="n">
        <f aca="false">AVERAGE($H$15:$L$15)</f>
        <v>0.0877753723063062</v>
      </c>
      <c r="V15" s="20" t="n">
        <f aca="false">AVERAGE($H$15:$L$15)</f>
        <v>0.0877753723063062</v>
      </c>
      <c r="W15" s="3"/>
      <c r="X15" s="21" t="n">
        <f aca="false">(L15+M15+N15+O15+P15+Q15+R15+S15+T15+U15)/COUNT(L15:U15)</f>
        <v>0.104958375054907</v>
      </c>
    </row>
    <row r="16" customFormat="false" ht="15.75" hidden="false" customHeight="false" outlineLevel="0" collapsed="false">
      <c r="A16" s="14" t="s">
        <v>21</v>
      </c>
      <c r="B16" s="3" t="s">
        <v>22</v>
      </c>
      <c r="C16" s="10"/>
      <c r="D16" s="10" t="s">
        <v>23</v>
      </c>
      <c r="E16" s="10"/>
      <c r="F16" s="10"/>
      <c r="G16" s="10" t="n">
        <f aca="false">'Income Statement'!C5/SUM('Income Statement'!C3:C4)</f>
        <v>0.0388349514563107</v>
      </c>
      <c r="H16" s="10" t="n">
        <f aca="false">'Income Statement'!D5/SUM('Income Statement'!D3:D4)</f>
        <v>0.038972920224445</v>
      </c>
      <c r="I16" s="10" t="n">
        <f aca="false">'Income Statement'!E5/SUM('Income Statement'!E3:E4)</f>
        <v>0.0378933122814932</v>
      </c>
      <c r="J16" s="10" t="n">
        <f aca="false">'Income Statement'!F5/SUM('Income Statement'!F3:F4)</f>
        <v>0.039142091152815</v>
      </c>
      <c r="K16" s="10" t="n">
        <f aca="false">'Income Statement'!G5/SUM('Income Statement'!G3:G4)</f>
        <v>0.0406759906759907</v>
      </c>
      <c r="L16" s="10" t="n">
        <f aca="false">'Income Statement'!H5/SUM('Income Statement'!H3:H4)</f>
        <v>0.0383532327100698</v>
      </c>
      <c r="M16" s="20" t="n">
        <f aca="false">AVERAGE($G16:$L16)</f>
        <v>0.0389787497501874</v>
      </c>
      <c r="N16" s="20" t="n">
        <f aca="false">AVERAGE($G16:$L16)</f>
        <v>0.0389787497501874</v>
      </c>
      <c r="O16" s="20" t="n">
        <f aca="false">AVERAGE($G16:$L16)</f>
        <v>0.0389787497501874</v>
      </c>
      <c r="P16" s="20" t="n">
        <f aca="false">AVERAGE($G16:$L16)</f>
        <v>0.0389787497501874</v>
      </c>
      <c r="Q16" s="20" t="n">
        <f aca="false">AVERAGE($G16:$L16)</f>
        <v>0.0389787497501874</v>
      </c>
      <c r="R16" s="20" t="n">
        <f aca="false">AVERAGE($G16:$L16)</f>
        <v>0.0389787497501874</v>
      </c>
      <c r="S16" s="20" t="n">
        <f aca="false">AVERAGE($G16:$L16)</f>
        <v>0.0389787497501874</v>
      </c>
      <c r="T16" s="20" t="n">
        <f aca="false">AVERAGE($G16:$L16)</f>
        <v>0.0389787497501874</v>
      </c>
      <c r="U16" s="20" t="n">
        <f aca="false">AVERAGE($G16:$L16)</f>
        <v>0.0389787497501874</v>
      </c>
      <c r="V16" s="20" t="n">
        <f aca="false">AVERAGE($G16:$L16)</f>
        <v>0.0389787497501874</v>
      </c>
      <c r="W16" s="3"/>
      <c r="X16" s="21"/>
    </row>
    <row r="17" customFormat="false" ht="15.75" hidden="false" customHeight="false" outlineLevel="0" collapsed="false">
      <c r="A17" s="14" t="s">
        <v>17</v>
      </c>
      <c r="B17" s="3" t="s">
        <v>24</v>
      </c>
      <c r="C17" s="10"/>
      <c r="D17" s="10" t="s">
        <v>25</v>
      </c>
      <c r="E17" s="10"/>
      <c r="F17" s="10"/>
      <c r="G17" s="10"/>
      <c r="H17" s="10" t="n">
        <f aca="false">IFERROR(('Income Statement'!D6-'Income Statement'!C6)/'Income Statement'!C6,0)</f>
        <v>0</v>
      </c>
      <c r="I17" s="10" t="n">
        <f aca="false">IFERROR(('Income Statement'!E6-'Income Statement'!D6)/'Income Statement'!D6,0)</f>
        <v>0</v>
      </c>
      <c r="J17" s="10" t="n">
        <f aca="false">IFERROR(('Income Statement'!F6-'Income Statement'!E6)/'Income Statement'!E6,0)</f>
        <v>0</v>
      </c>
      <c r="K17" s="10" t="n">
        <f aca="false">IFERROR(('Income Statement'!G6-'Income Statement'!F6)/'Income Statement'!F6,0)</f>
        <v>0</v>
      </c>
      <c r="L17" s="10" t="n">
        <f aca="false">IFERROR(('Income Statement'!H6-'Income Statement'!G6)/'Income Statement'!G6,0)</f>
        <v>1.37531328320802</v>
      </c>
      <c r="M17" s="20" t="n">
        <v>0</v>
      </c>
      <c r="N17" s="20" t="n">
        <v>0</v>
      </c>
      <c r="O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  <c r="T17" s="20" t="n">
        <v>0</v>
      </c>
      <c r="U17" s="20" t="n">
        <v>0</v>
      </c>
      <c r="V17" s="20" t="n">
        <v>0</v>
      </c>
      <c r="W17" s="3"/>
      <c r="X17" s="21"/>
    </row>
    <row r="18" customFormat="false" ht="15.75" hidden="false" customHeight="false" outlineLevel="0" collapsed="false">
      <c r="A18" s="14" t="s">
        <v>21</v>
      </c>
      <c r="B18" s="3" t="s">
        <v>26</v>
      </c>
      <c r="C18" s="10"/>
      <c r="D18" s="10" t="s">
        <v>27</v>
      </c>
      <c r="E18" s="10"/>
      <c r="F18" s="10"/>
      <c r="G18" s="10" t="n">
        <f aca="false">'Income Statement'!C7/('Income Statement'!C3+'Income Statement'!C4+'Income Statement'!C6)</f>
        <v>0.0037195813894843</v>
      </c>
      <c r="H18" s="10" t="n">
        <f aca="false">'Income Statement'!D7/('Income Statement'!D3+'Income Statement'!D4+'Income Statement'!D6)</f>
        <v>0.00317150524518175</v>
      </c>
      <c r="I18" s="10" t="n">
        <f aca="false">'Income Statement'!E7/('Income Statement'!E3+'Income Statement'!E4+'Income Statement'!E6)</f>
        <v>0.00343972031126649</v>
      </c>
      <c r="J18" s="10" t="n">
        <f aca="false">'Income Statement'!F7/('Income Statement'!F3+'Income Statement'!F4+'Income Statement'!F6)</f>
        <v>0.00280011915400655</v>
      </c>
      <c r="K18" s="10" t="n">
        <f aca="false">'Income Statement'!G7/('Income Statement'!G3+'Income Statement'!G4+'Income Statement'!G6)</f>
        <v>0.0235657922798038</v>
      </c>
      <c r="L18" s="10" t="n">
        <f aca="false">'Income Statement'!H7/('Income Statement'!H3+'Income Statement'!H4+'Income Statement'!H6)</f>
        <v>0.0372673690072864</v>
      </c>
      <c r="M18" s="20" t="n">
        <f aca="false">AVERAGE($G18:$L18)</f>
        <v>0.0123273478978382</v>
      </c>
      <c r="N18" s="20" t="n">
        <f aca="false">AVERAGE($G18:$L18)</f>
        <v>0.0123273478978382</v>
      </c>
      <c r="O18" s="20" t="n">
        <f aca="false">AVERAGE($G18:$L18)</f>
        <v>0.0123273478978382</v>
      </c>
      <c r="P18" s="20" t="n">
        <f aca="false">AVERAGE($G18:$L18)</f>
        <v>0.0123273478978382</v>
      </c>
      <c r="Q18" s="20" t="n">
        <f aca="false">AVERAGE($G18:$L18)</f>
        <v>0.0123273478978382</v>
      </c>
      <c r="R18" s="20" t="n">
        <f aca="false">AVERAGE($G18:$L18)</f>
        <v>0.0123273478978382</v>
      </c>
      <c r="S18" s="20" t="n">
        <f aca="false">AVERAGE($G18:$L18)</f>
        <v>0.0123273478978382</v>
      </c>
      <c r="T18" s="20" t="n">
        <f aca="false">AVERAGE($G18:$L18)</f>
        <v>0.0123273478978382</v>
      </c>
      <c r="U18" s="20" t="n">
        <f aca="false">AVERAGE($G18:$L18)</f>
        <v>0.0123273478978382</v>
      </c>
      <c r="V18" s="20" t="n">
        <f aca="false">AVERAGE($G18:$L18)</f>
        <v>0.0123273478978382</v>
      </c>
      <c r="W18" s="3"/>
      <c r="X18" s="21"/>
    </row>
    <row r="19" customFormat="false" ht="15.75" hidden="false" customHeight="false" outlineLevel="0" collapsed="false">
      <c r="A19" s="14"/>
      <c r="B19" s="3"/>
      <c r="C19" s="19" t="s">
        <v>28</v>
      </c>
      <c r="D19" s="10"/>
      <c r="E19" s="10"/>
      <c r="F19" s="10"/>
      <c r="G19" s="10"/>
      <c r="H19" s="10"/>
      <c r="I19" s="10"/>
      <c r="J19" s="10"/>
      <c r="K19" s="10"/>
      <c r="L19" s="1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3"/>
      <c r="X19" s="21"/>
    </row>
    <row r="20" customFormat="false" ht="15.75" hidden="false" customHeight="false" outlineLevel="0" collapsed="false">
      <c r="A20" s="14" t="s">
        <v>21</v>
      </c>
      <c r="B20" s="3" t="s">
        <v>29</v>
      </c>
      <c r="C20" s="10"/>
      <c r="D20" s="10" t="s">
        <v>30</v>
      </c>
      <c r="E20" s="10"/>
      <c r="F20" s="10"/>
      <c r="G20" s="10" t="n">
        <f aca="false">'Income Statement'!C10/SUM('Income Statement'!C3:C5)</f>
        <v>0.3068940405389</v>
      </c>
      <c r="H20" s="10" t="n">
        <f aca="false">'Income Statement'!D10/SUM('Income Statement'!D3:D5)</f>
        <v>0.323451717053126</v>
      </c>
      <c r="I20" s="10" t="n">
        <f aca="false">'Income Statement'!E10/SUM('Income Statement'!E3:E5)</f>
        <v>0.326252309029664</v>
      </c>
      <c r="J20" s="10" t="n">
        <f aca="false">'Income Statement'!F10/SUM('Income Statement'!F3:F5)</f>
        <v>0.272331154684096</v>
      </c>
      <c r="K20" s="10" t="n">
        <f aca="false">'Income Statement'!G10/SUM('Income Statement'!G3:G5)</f>
        <v>0.244204278194647</v>
      </c>
      <c r="L20" s="10" t="n">
        <f aca="false">'Income Statement'!H10/SUM('Income Statement'!H3:H5)</f>
        <v>0.238650539675652</v>
      </c>
      <c r="M20" s="20" t="n">
        <f aca="false">AVERAGE($J20:$L20)</f>
        <v>0.251728657518132</v>
      </c>
      <c r="N20" s="20" t="n">
        <f aca="false">AVERAGE($J20:$L20)</f>
        <v>0.251728657518132</v>
      </c>
      <c r="O20" s="20" t="n">
        <f aca="false">AVERAGE($J20:$L20)</f>
        <v>0.251728657518132</v>
      </c>
      <c r="P20" s="20" t="n">
        <f aca="false">AVERAGE($J20:$L20)</f>
        <v>0.251728657518132</v>
      </c>
      <c r="Q20" s="20" t="n">
        <f aca="false">AVERAGE($J20:$L20)</f>
        <v>0.251728657518132</v>
      </c>
      <c r="R20" s="20" t="n">
        <f aca="false">AVERAGE($J20:$L20)</f>
        <v>0.251728657518132</v>
      </c>
      <c r="S20" s="20" t="n">
        <f aca="false">AVERAGE($J20:$L20)</f>
        <v>0.251728657518132</v>
      </c>
      <c r="T20" s="20" t="n">
        <f aca="false">AVERAGE($J20:$L20)</f>
        <v>0.251728657518132</v>
      </c>
      <c r="U20" s="20" t="n">
        <f aca="false">AVERAGE($J20:$L20)</f>
        <v>0.251728657518132</v>
      </c>
      <c r="V20" s="20" t="n">
        <f aca="false">AVERAGE($J20:$L20)</f>
        <v>0.251728657518132</v>
      </c>
      <c r="W20" s="3"/>
      <c r="X20" s="21"/>
    </row>
    <row r="21" customFormat="false" ht="15.75" hidden="false" customHeight="false" outlineLevel="0" collapsed="false">
      <c r="A21" s="14" t="s">
        <v>21</v>
      </c>
      <c r="B21" s="3" t="s">
        <v>31</v>
      </c>
      <c r="C21" s="10"/>
      <c r="D21" s="10" t="s">
        <v>32</v>
      </c>
      <c r="E21" s="10"/>
      <c r="F21" s="10"/>
      <c r="G21" s="10" t="n">
        <f aca="false">'Income Statement'!C11/('Income Statement'!C3+'Income Statement'!C4+'Income Statement'!C5)</f>
        <v>0.0330137152567059</v>
      </c>
      <c r="H21" s="10" t="n">
        <f aca="false">'Income Statement'!D11/('Income Statement'!D3+'Income Statement'!D4+'Income Statement'!D5)</f>
        <v>0.027061931317875</v>
      </c>
      <c r="I21" s="10" t="n">
        <f aca="false">'Income Statement'!E11/('Income Statement'!E3+'Income Statement'!E4+'Income Statement'!E5)</f>
        <v>0.0365098337498642</v>
      </c>
      <c r="J21" s="10" t="n">
        <f aca="false">'Income Statement'!F11/('Income Statement'!F3+'Income Statement'!F4+'Income Statement'!F5)</f>
        <v>0.0369797041623667</v>
      </c>
      <c r="K21" s="10" t="n">
        <f aca="false">'Income Statement'!G11/('Income Statement'!G3+'Income Statement'!G4+'Income Statement'!G5)</f>
        <v>0.0419979840967634</v>
      </c>
      <c r="L21" s="10" t="n">
        <f aca="false">'Income Statement'!H11/('Income Statement'!H3+'Income Statement'!H4+'Income Statement'!H5)</f>
        <v>0.0468080490318382</v>
      </c>
      <c r="M21" s="20" t="n">
        <f aca="false">AVERAGE($J21:$L21)</f>
        <v>0.0419285790969894</v>
      </c>
      <c r="N21" s="20" t="n">
        <f aca="false">AVERAGE($J21:$L21)</f>
        <v>0.0419285790969894</v>
      </c>
      <c r="O21" s="20" t="n">
        <f aca="false">AVERAGE($J21:$L21)</f>
        <v>0.0419285790969894</v>
      </c>
      <c r="P21" s="20" t="n">
        <f aca="false">AVERAGE($J21:$L21)</f>
        <v>0.0419285790969894</v>
      </c>
      <c r="Q21" s="20" t="n">
        <f aca="false">AVERAGE($J21:$L21)</f>
        <v>0.0419285790969894</v>
      </c>
      <c r="R21" s="20" t="n">
        <f aca="false">AVERAGE($J21:$L21)</f>
        <v>0.0419285790969894</v>
      </c>
      <c r="S21" s="20" t="n">
        <f aca="false">AVERAGE($J21:$L21)</f>
        <v>0.0419285790969894</v>
      </c>
      <c r="T21" s="20" t="n">
        <f aca="false">AVERAGE($J21:$L21)</f>
        <v>0.0419285790969894</v>
      </c>
      <c r="U21" s="20" t="n">
        <f aca="false">AVERAGE($J21:$L21)</f>
        <v>0.0419285790969894</v>
      </c>
      <c r="V21" s="20" t="n">
        <f aca="false">AVERAGE($J21:$L21)</f>
        <v>0.0419285790969894</v>
      </c>
      <c r="W21" s="3"/>
      <c r="X21" s="21"/>
    </row>
    <row r="22" customFormat="false" ht="15.75" hidden="false" customHeight="false" outlineLevel="0" collapsed="false">
      <c r="A22" s="14" t="s">
        <v>21</v>
      </c>
      <c r="B22" s="3" t="s">
        <v>33</v>
      </c>
      <c r="C22" s="10"/>
      <c r="D22" s="10" t="s">
        <v>34</v>
      </c>
      <c r="E22" s="10"/>
      <c r="F22" s="10"/>
      <c r="G22" s="10" t="n">
        <f aca="false">IFERROR('Income Statement'!C12/'Income Statement'!C6,0)</f>
        <v>0</v>
      </c>
      <c r="H22" s="10" t="n">
        <f aca="false">IFERROR('Income Statement'!D12/'Income Statement'!D6,0)</f>
        <v>0</v>
      </c>
      <c r="I22" s="10" t="n">
        <f aca="false">IFERROR('Income Statement'!E12/'Income Statement'!E6,0)</f>
        <v>0</v>
      </c>
      <c r="J22" s="10" t="n">
        <f aca="false">IFERROR('Income Statement'!F12/'Income Statement'!F6,0)</f>
        <v>0</v>
      </c>
      <c r="K22" s="10" t="n">
        <f aca="false">IFERROR('Income Statement'!G12/'Income Statement'!G6,0)</f>
        <v>0.384085213032581</v>
      </c>
      <c r="L22" s="10" t="n">
        <f aca="false">IFERROR('Income Statement'!H12/'Income Statement'!H6,0)</f>
        <v>0.422316011606436</v>
      </c>
      <c r="M22" s="20" t="n">
        <f aca="false">AVERAGE($K$22:$L$22)</f>
        <v>0.403200612319509</v>
      </c>
      <c r="N22" s="20" t="n">
        <f aca="false">AVERAGE($K$22:$L$22)</f>
        <v>0.403200612319509</v>
      </c>
      <c r="O22" s="20" t="n">
        <f aca="false">AVERAGE($K$22:$L$22)</f>
        <v>0.403200612319509</v>
      </c>
      <c r="P22" s="20" t="n">
        <f aca="false">AVERAGE($K$22:$L$22)</f>
        <v>0.403200612319509</v>
      </c>
      <c r="Q22" s="20" t="n">
        <f aca="false">AVERAGE($K$22:$L$22)</f>
        <v>0.403200612319509</v>
      </c>
      <c r="R22" s="20" t="n">
        <f aca="false">AVERAGE($K$22:$L$22)</f>
        <v>0.403200612319509</v>
      </c>
      <c r="S22" s="20" t="n">
        <f aca="false">AVERAGE($K$22:$L$22)</f>
        <v>0.403200612319509</v>
      </c>
      <c r="T22" s="20" t="n">
        <f aca="false">AVERAGE($K$22:$L$22)</f>
        <v>0.403200612319509</v>
      </c>
      <c r="U22" s="20" t="n">
        <f aca="false">AVERAGE($K$22:$L$22)</f>
        <v>0.403200612319509</v>
      </c>
      <c r="V22" s="20" t="n">
        <f aca="false">AVERAGE($K$22:$L$22)</f>
        <v>0.403200612319509</v>
      </c>
      <c r="W22" s="3"/>
      <c r="X22" s="21"/>
    </row>
    <row r="23" customFormat="false" ht="15.75" hidden="false" customHeight="false" outlineLevel="0" collapsed="false">
      <c r="A23" s="14" t="s">
        <v>21</v>
      </c>
      <c r="B23" s="3" t="s">
        <v>35</v>
      </c>
      <c r="C23" s="10"/>
      <c r="D23" s="10" t="s">
        <v>36</v>
      </c>
      <c r="E23" s="10"/>
      <c r="F23" s="10"/>
      <c r="G23" s="10" t="n">
        <f aca="false">'Income Statement'!C13/'Income Statement'!C7</f>
        <v>0</v>
      </c>
      <c r="H23" s="10" t="n">
        <f aca="false">'Income Statement'!D13/'Income Statement'!D7</f>
        <v>0</v>
      </c>
      <c r="I23" s="10" t="n">
        <f aca="false">'Income Statement'!E13/'Income Statement'!E7</f>
        <v>0</v>
      </c>
      <c r="J23" s="10" t="n">
        <f aca="false">'Income Statement'!F13/'Income Statement'!F7</f>
        <v>0</v>
      </c>
      <c r="K23" s="10" t="n">
        <f aca="false">'Income Statement'!G13/'Income Statement'!G7</f>
        <v>0.588235294117647</v>
      </c>
      <c r="L23" s="10" t="n">
        <f aca="false">'Income Statement'!H13/'Income Statement'!H7</f>
        <v>0.638854296388543</v>
      </c>
      <c r="M23" s="20" t="n">
        <f aca="false">AVERAGE($K$23:$L$23)</f>
        <v>0.613544795253095</v>
      </c>
      <c r="N23" s="20" t="n">
        <f aca="false">AVERAGE($K$23:$L$23)</f>
        <v>0.613544795253095</v>
      </c>
      <c r="O23" s="20" t="n">
        <f aca="false">AVERAGE($K$23:$L$23)</f>
        <v>0.613544795253095</v>
      </c>
      <c r="P23" s="20" t="n">
        <f aca="false">AVERAGE($K$23:$L$23)</f>
        <v>0.613544795253095</v>
      </c>
      <c r="Q23" s="20" t="n">
        <f aca="false">AVERAGE($K$23:$L$23)</f>
        <v>0.613544795253095</v>
      </c>
      <c r="R23" s="20" t="n">
        <f aca="false">AVERAGE($K$23:$L$23)</f>
        <v>0.613544795253095</v>
      </c>
      <c r="S23" s="20" t="n">
        <f aca="false">AVERAGE($K$23:$L$23)</f>
        <v>0.613544795253095</v>
      </c>
      <c r="T23" s="20" t="n">
        <f aca="false">AVERAGE($K$23:$L$23)</f>
        <v>0.613544795253095</v>
      </c>
      <c r="U23" s="20" t="n">
        <f aca="false">AVERAGE($K$23:$L$23)</f>
        <v>0.613544795253095</v>
      </c>
      <c r="V23" s="20" t="n">
        <f aca="false">AVERAGE($K$23:$L$23)</f>
        <v>0.613544795253095</v>
      </c>
      <c r="W23" s="3"/>
      <c r="X23" s="21"/>
    </row>
    <row r="24" customFormat="false" ht="15.75" hidden="false" customHeight="false" outlineLevel="0" collapsed="false">
      <c r="A24" s="14" t="s">
        <v>17</v>
      </c>
      <c r="B24" s="3" t="s">
        <v>18</v>
      </c>
      <c r="C24" s="10"/>
      <c r="D24" s="10" t="s">
        <v>37</v>
      </c>
      <c r="E24" s="10"/>
      <c r="F24" s="10"/>
      <c r="G24" s="10"/>
      <c r="H24" s="10" t="n">
        <f aca="false">('Income Statement'!D14-'Income Statement'!C14)/'Income Statement'!C14</f>
        <v>0.0196182396606575</v>
      </c>
      <c r="I24" s="10" t="n">
        <f aca="false">('Income Statement'!E14-'Income Statement'!D14)/'Income Statement'!D14</f>
        <v>0.132085283411336</v>
      </c>
      <c r="J24" s="10" t="n">
        <f aca="false">('Income Statement'!F14-'Income Statement'!E14)/'Income Statement'!E14</f>
        <v>0.0142397795130914</v>
      </c>
      <c r="K24" s="10" t="n">
        <f aca="false">('Income Statement'!G14-'Income Statement'!F14)/'Income Statement'!F14</f>
        <v>0.186594202898551</v>
      </c>
      <c r="L24" s="10" t="n">
        <f aca="false">('Income Statement'!H14-'Income Statement'!G14)/'Income Statement'!G14</f>
        <v>0.0459923664122137</v>
      </c>
      <c r="M24" s="20" t="n">
        <f aca="false">($H$24+$I$24+$J$24+$L$24)/4</f>
        <v>0.0529839172493248</v>
      </c>
      <c r="N24" s="20" t="n">
        <f aca="false">($H$24+$I$24+$J$24+$L$24)/4</f>
        <v>0.0529839172493248</v>
      </c>
      <c r="O24" s="20" t="n">
        <f aca="false">($H$24+$I$24+$J$24+$L$24)/4</f>
        <v>0.0529839172493248</v>
      </c>
      <c r="P24" s="20" t="n">
        <f aca="false">($H$24+$I$24+$J$24+$L$24)/4</f>
        <v>0.0529839172493248</v>
      </c>
      <c r="Q24" s="20" t="n">
        <f aca="false">($H$24+$I$24+$J$24+$L$24)/4</f>
        <v>0.0529839172493248</v>
      </c>
      <c r="R24" s="20" t="n">
        <f aca="false">($H$24+$I$24+$J$24+$L$24)/4</f>
        <v>0.0529839172493248</v>
      </c>
      <c r="S24" s="20" t="n">
        <f aca="false">($H$24+$I$24+$J$24+$L$24)/4</f>
        <v>0.0529839172493248</v>
      </c>
      <c r="T24" s="20" t="n">
        <f aca="false">($H$24+$I$24+$J$24+$L$24)/4</f>
        <v>0.0529839172493248</v>
      </c>
      <c r="U24" s="20" t="n">
        <f aca="false">($H$24+$I$24+$J$24+$L$24)/4</f>
        <v>0.0529839172493248</v>
      </c>
      <c r="V24" s="20" t="n">
        <f aca="false">($H$24+$I$24+$J$24+$L$24)/4</f>
        <v>0.0529839172493248</v>
      </c>
      <c r="W24" s="3"/>
      <c r="X24" s="21"/>
    </row>
    <row r="25" customFormat="false" ht="15.75" hidden="false" customHeight="false" outlineLevel="0" collapsed="false">
      <c r="A25" s="14" t="s">
        <v>21</v>
      </c>
      <c r="B25" s="3" t="s">
        <v>38</v>
      </c>
      <c r="C25" s="10"/>
      <c r="D25" s="10" t="s">
        <v>39</v>
      </c>
      <c r="E25" s="10"/>
      <c r="F25" s="10"/>
      <c r="G25" s="10" t="n">
        <v>0.032</v>
      </c>
      <c r="H25" s="10" t="n">
        <v>0.033</v>
      </c>
      <c r="I25" s="10" t="n">
        <v>0.031</v>
      </c>
      <c r="J25" s="10" t="n">
        <v>0.03</v>
      </c>
      <c r="K25" s="10" t="n">
        <v>0.03</v>
      </c>
      <c r="L25" s="10" t="n">
        <v>0.029</v>
      </c>
      <c r="M25" s="20" t="n">
        <f aca="false">AVERAGE($G25:$L25)</f>
        <v>0.0308333333333333</v>
      </c>
      <c r="N25" s="20" t="n">
        <f aca="false">AVERAGE($G25:$L25)</f>
        <v>0.0308333333333333</v>
      </c>
      <c r="O25" s="20" t="n">
        <f aca="false">AVERAGE($G25:$L25)</f>
        <v>0.0308333333333333</v>
      </c>
      <c r="P25" s="20" t="n">
        <f aca="false">AVERAGE($G25:$L25)</f>
        <v>0.0308333333333333</v>
      </c>
      <c r="Q25" s="20" t="n">
        <f aca="false">AVERAGE($G25:$L25)</f>
        <v>0.0308333333333333</v>
      </c>
      <c r="R25" s="20" t="n">
        <f aca="false">AVERAGE($G25:$L25)</f>
        <v>0.0308333333333333</v>
      </c>
      <c r="S25" s="20" t="n">
        <f aca="false">AVERAGE($G25:$L25)</f>
        <v>0.0308333333333333</v>
      </c>
      <c r="T25" s="20" t="n">
        <f aca="false">AVERAGE($G25:$L25)</f>
        <v>0.0308333333333333</v>
      </c>
      <c r="U25" s="20" t="n">
        <f aca="false">AVERAGE($G25:$L25)</f>
        <v>0.0308333333333333</v>
      </c>
      <c r="V25" s="20" t="n">
        <f aca="false">AVERAGE($G25:$L25)</f>
        <v>0.0308333333333333</v>
      </c>
      <c r="W25" s="3"/>
      <c r="X25" s="21"/>
    </row>
    <row r="26" customFormat="false" ht="15.75" hidden="false" customHeight="false" outlineLevel="0" collapsed="false">
      <c r="A26" s="14" t="s">
        <v>21</v>
      </c>
      <c r="B26" s="3" t="s">
        <v>40</v>
      </c>
      <c r="C26" s="10"/>
      <c r="D26" s="10" t="s">
        <v>41</v>
      </c>
      <c r="E26" s="10"/>
      <c r="F26" s="10"/>
      <c r="G26" s="10" t="n">
        <f aca="false">'Income Statement'!C17/'Income Statement'!C15</f>
        <v>0.127582356225572</v>
      </c>
      <c r="H26" s="10" t="n">
        <f aca="false">'Income Statement'!D17/'Income Statement'!D15</f>
        <v>0.128473177441541</v>
      </c>
      <c r="I26" s="10" t="n">
        <f aca="false">'Income Statement'!E17/'Income Statement'!E15</f>
        <v>0.131925766541151</v>
      </c>
      <c r="J26" s="10" t="n">
        <f aca="false">'Income Statement'!F17/'Income Statement'!F15</f>
        <v>0.129851523834332</v>
      </c>
      <c r="K26" s="10" t="n">
        <f aca="false">'Income Statement'!G17/'Income Statement'!G15</f>
        <v>0.128344095940959</v>
      </c>
      <c r="L26" s="10" t="n">
        <f aca="false">'Income Statement'!H17/'Income Statement'!H15</f>
        <v>0.122874275041777</v>
      </c>
      <c r="M26" s="20" t="n">
        <f aca="false">AVERAGE($G26:$L26)</f>
        <v>0.128175199170889</v>
      </c>
      <c r="N26" s="20" t="n">
        <f aca="false">AVERAGE($G26:$L26)</f>
        <v>0.128175199170889</v>
      </c>
      <c r="O26" s="20" t="n">
        <f aca="false">AVERAGE($G26:$L26)</f>
        <v>0.128175199170889</v>
      </c>
      <c r="P26" s="20" t="n">
        <f aca="false">AVERAGE($G26:$L26)</f>
        <v>0.128175199170889</v>
      </c>
      <c r="Q26" s="20" t="n">
        <f aca="false">AVERAGE($G26:$L26)</f>
        <v>0.128175199170889</v>
      </c>
      <c r="R26" s="20" t="n">
        <f aca="false">AVERAGE($G26:$L26)</f>
        <v>0.128175199170889</v>
      </c>
      <c r="S26" s="20" t="n">
        <f aca="false">AVERAGE($G26:$L26)</f>
        <v>0.128175199170889</v>
      </c>
      <c r="T26" s="20" t="n">
        <f aca="false">AVERAGE($G26:$L26)</f>
        <v>0.128175199170889</v>
      </c>
      <c r="U26" s="20" t="n">
        <f aca="false">AVERAGE($G26:$L26)</f>
        <v>0.128175199170889</v>
      </c>
      <c r="V26" s="20" t="n">
        <f aca="false">AVERAGE($G26:$L26)</f>
        <v>0.128175199170889</v>
      </c>
      <c r="W26" s="3"/>
      <c r="X26" s="21"/>
    </row>
    <row r="27" customFormat="false" ht="15.75" hidden="false" customHeight="false" outlineLevel="0" collapsed="false">
      <c r="A27" s="14"/>
      <c r="B27" s="3"/>
      <c r="C27" s="19" t="s">
        <v>42</v>
      </c>
      <c r="D27" s="10"/>
      <c r="E27" s="10"/>
      <c r="F27" s="10"/>
      <c r="G27" s="10"/>
      <c r="H27" s="10"/>
      <c r="I27" s="10"/>
      <c r="J27" s="10"/>
      <c r="K27" s="10"/>
      <c r="L27" s="1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3"/>
      <c r="X27" s="21"/>
    </row>
    <row r="28" customFormat="false" ht="15.75" hidden="false" customHeight="false" outlineLevel="0" collapsed="false">
      <c r="A28" s="14" t="s">
        <v>21</v>
      </c>
      <c r="B28" s="3" t="s">
        <v>43</v>
      </c>
      <c r="C28" s="10"/>
      <c r="D28" s="10" t="s">
        <v>44</v>
      </c>
      <c r="E28" s="10"/>
      <c r="F28" s="10"/>
      <c r="G28" s="10" t="n">
        <f aca="false">'Income Statement'!C24/'Income Statement'!C8</f>
        <v>0.00241881840720808</v>
      </c>
      <c r="H28" s="10" t="n">
        <f aca="false">'Income Statement'!D24/'Income Statement'!D8</f>
        <v>0.00111195645812606</v>
      </c>
      <c r="I28" s="10" t="n">
        <f aca="false">'Income Statement'!E24/'Income Statement'!E8</f>
        <v>0.00102886229490442</v>
      </c>
      <c r="J28" s="10" t="n">
        <f aca="false">'Income Statement'!F24/'Income Statement'!F8</f>
        <v>0</v>
      </c>
      <c r="K28" s="10" t="n">
        <f aca="false">'Income Statement'!G24/'Income Statement'!G8</f>
        <v>0.0029654201849618</v>
      </c>
      <c r="L28" s="10" t="n">
        <f aca="false">'Income Statement'!H24/'Income Statement'!H8</f>
        <v>0.0046024922929964</v>
      </c>
      <c r="M28" s="20" t="n">
        <f aca="false">AVERAGE($G28:$L28)</f>
        <v>0.00202125827303279</v>
      </c>
      <c r="N28" s="20" t="n">
        <f aca="false">AVERAGE($G28:$L28)</f>
        <v>0.00202125827303279</v>
      </c>
      <c r="O28" s="20" t="n">
        <f aca="false">AVERAGE($G28:$L28)</f>
        <v>0.00202125827303279</v>
      </c>
      <c r="P28" s="20" t="n">
        <f aca="false">AVERAGE($G28:$L28)</f>
        <v>0.00202125827303279</v>
      </c>
      <c r="Q28" s="20" t="n">
        <f aca="false">AVERAGE($G28:$L28)</f>
        <v>0.00202125827303279</v>
      </c>
      <c r="R28" s="20" t="n">
        <f aca="false">AVERAGE($G28:$L28)</f>
        <v>0.00202125827303279</v>
      </c>
      <c r="S28" s="20" t="n">
        <f aca="false">AVERAGE($G28:$L28)</f>
        <v>0.00202125827303279</v>
      </c>
      <c r="T28" s="20" t="n">
        <f aca="false">AVERAGE($G28:$L28)</f>
        <v>0.00202125827303279</v>
      </c>
      <c r="U28" s="20" t="n">
        <f aca="false">AVERAGE($G28:$L28)</f>
        <v>0.00202125827303279</v>
      </c>
      <c r="V28" s="20" t="n">
        <f aca="false">AVERAGE($G28:$L28)</f>
        <v>0.00202125827303279</v>
      </c>
      <c r="W28" s="3"/>
      <c r="X28" s="21"/>
    </row>
    <row r="29" customFormat="false" ht="15.75" hidden="false" customHeight="false" outlineLevel="0" collapsed="false">
      <c r="A29" s="14" t="s">
        <v>21</v>
      </c>
      <c r="B29" s="3" t="s">
        <v>43</v>
      </c>
      <c r="C29" s="10"/>
      <c r="D29" s="10" t="s">
        <v>45</v>
      </c>
      <c r="E29" s="10"/>
      <c r="F29" s="10"/>
      <c r="G29" s="10" t="n">
        <f aca="false">'Income Statement'!C26/'Income Statement'!C8</f>
        <v>-0.00229787748684767</v>
      </c>
      <c r="H29" s="10" t="n">
        <f aca="false">'Income Statement'!D26/'Income Statement'!D8</f>
        <v>-0.00474044595306373</v>
      </c>
      <c r="I29" s="10" t="n">
        <f aca="false">'Income Statement'!E26/'Income Statement'!E8</f>
        <v>-0.00341149076731467</v>
      </c>
      <c r="J29" s="10" t="n">
        <f aca="false">'Income Statement'!F26/'Income Statement'!F8</f>
        <v>-0.00222997312596489</v>
      </c>
      <c r="K29" s="10" t="n">
        <f aca="false">'Income Statement'!G26/'Income Statement'!G8</f>
        <v>-0.00467430639324487</v>
      </c>
      <c r="L29" s="10" t="n">
        <f aca="false">'Income Statement'!H26/'Income Statement'!H8</f>
        <v>-0.00238808562372454</v>
      </c>
      <c r="M29" s="20" t="n">
        <f aca="false">AVERAGE($G29:$L29)</f>
        <v>-0.00329036322502673</v>
      </c>
      <c r="N29" s="20" t="n">
        <f aca="false">AVERAGE($G29:$L29)</f>
        <v>-0.00329036322502673</v>
      </c>
      <c r="O29" s="20" t="n">
        <f aca="false">AVERAGE($G29:$L29)</f>
        <v>-0.00329036322502673</v>
      </c>
      <c r="P29" s="20" t="n">
        <f aca="false">AVERAGE($G29:$L29)</f>
        <v>-0.00329036322502673</v>
      </c>
      <c r="Q29" s="20" t="n">
        <f aca="false">AVERAGE($G29:$L29)</f>
        <v>-0.00329036322502673</v>
      </c>
      <c r="R29" s="20" t="n">
        <f aca="false">AVERAGE($G29:$L29)</f>
        <v>-0.00329036322502673</v>
      </c>
      <c r="S29" s="20" t="n">
        <f aca="false">AVERAGE($G29:$L29)</f>
        <v>-0.00329036322502673</v>
      </c>
      <c r="T29" s="20" t="n">
        <f aca="false">AVERAGE($G29:$L29)</f>
        <v>-0.00329036322502673</v>
      </c>
      <c r="U29" s="20" t="n">
        <f aca="false">AVERAGE($G29:$L29)</f>
        <v>-0.00329036322502673</v>
      </c>
      <c r="V29" s="20" t="n">
        <f aca="false">AVERAGE($G29:$L29)</f>
        <v>-0.00329036322502673</v>
      </c>
      <c r="W29" s="3"/>
      <c r="X29" s="21"/>
    </row>
    <row r="30" customFormat="false" ht="15.75" hidden="false" customHeight="false" outlineLevel="0" collapsed="false">
      <c r="A30" s="14" t="s">
        <v>21</v>
      </c>
      <c r="B30" s="3" t="s">
        <v>46</v>
      </c>
      <c r="C30" s="10"/>
      <c r="D30" s="10" t="s">
        <v>47</v>
      </c>
      <c r="E30" s="10"/>
      <c r="F30" s="10"/>
      <c r="G30" s="10" t="n">
        <f aca="false">'Income Statement'!C29/'Income Statement'!C28</f>
        <v>0.355828220858896</v>
      </c>
      <c r="H30" s="10" t="n">
        <f aca="false">'Income Statement'!D29/'Income Statement'!D28</f>
        <v>0.331770222743259</v>
      </c>
      <c r="I30" s="10" t="n">
        <f aca="false">'Income Statement'!E29/'Income Statement'!E28</f>
        <v>0.324800531914894</v>
      </c>
      <c r="J30" s="10" t="n">
        <f aca="false">'Income Statement'!F29/'Income Statement'!F28</f>
        <v>0.329016257922293</v>
      </c>
      <c r="K30" s="10" t="n">
        <f aca="false">'Income Statement'!G29/'Income Statement'!G28</f>
        <v>0.273275862068966</v>
      </c>
      <c r="L30" s="10" t="n">
        <f aca="false">'Income Statement'!H29/'Income Statement'!H28</f>
        <v>0.132958801498127</v>
      </c>
      <c r="M30" s="20" t="n">
        <f aca="false">AVERAGE($G30:$J30)</f>
        <v>0.335353808359835</v>
      </c>
      <c r="N30" s="20" t="n">
        <f aca="false">AVERAGE($G30:$J30)</f>
        <v>0.335353808359835</v>
      </c>
      <c r="O30" s="20" t="n">
        <f aca="false">AVERAGE($G30:$J30)</f>
        <v>0.335353808359835</v>
      </c>
      <c r="P30" s="20" t="n">
        <f aca="false">AVERAGE($G30:$J30)</f>
        <v>0.335353808359835</v>
      </c>
      <c r="Q30" s="20" t="n">
        <f aca="false">AVERAGE($G30:$J30)</f>
        <v>0.335353808359835</v>
      </c>
      <c r="R30" s="20" t="n">
        <f aca="false">AVERAGE($G30:$J30)</f>
        <v>0.335353808359835</v>
      </c>
      <c r="S30" s="20" t="n">
        <f aca="false">AVERAGE($G30:$J30)</f>
        <v>0.335353808359835</v>
      </c>
      <c r="T30" s="20" t="n">
        <f aca="false">AVERAGE($G30:$J30)</f>
        <v>0.335353808359835</v>
      </c>
      <c r="U30" s="20" t="n">
        <f aca="false">AVERAGE($G30:$J30)</f>
        <v>0.335353808359835</v>
      </c>
      <c r="V30" s="20" t="n">
        <f aca="false">AVERAGE($G30:$J30)</f>
        <v>0.335353808359835</v>
      </c>
      <c r="W30" s="3"/>
      <c r="X30" s="21"/>
    </row>
    <row r="31" customFormat="false" ht="15.75" hidden="false" customHeight="false" outlineLevel="0" collapsed="false">
      <c r="A31" s="14"/>
      <c r="B31" s="3"/>
      <c r="C31" s="19" t="s">
        <v>48</v>
      </c>
      <c r="D31" s="10"/>
      <c r="E31" s="10"/>
      <c r="F31" s="10"/>
      <c r="G31" s="10"/>
      <c r="H31" s="10"/>
      <c r="I31" s="10"/>
      <c r="J31" s="10"/>
      <c r="K31" s="10"/>
      <c r="L31" s="1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3"/>
      <c r="X31" s="21"/>
    </row>
    <row r="32" customFormat="false" ht="15.75" hidden="false" customHeight="false" outlineLevel="0" collapsed="false">
      <c r="A32" s="14"/>
      <c r="B32" s="3"/>
      <c r="C32" s="19" t="s">
        <v>49</v>
      </c>
      <c r="D32" s="10"/>
      <c r="E32" s="10"/>
      <c r="F32" s="10"/>
      <c r="G32" s="10"/>
      <c r="H32" s="10"/>
      <c r="I32" s="10"/>
      <c r="J32" s="10"/>
      <c r="K32" s="10"/>
      <c r="L32" s="1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3"/>
      <c r="X32" s="21"/>
    </row>
    <row r="33" customFormat="false" ht="15.75" hidden="false" customHeight="false" outlineLevel="0" collapsed="false">
      <c r="A33" s="14" t="s">
        <v>21</v>
      </c>
      <c r="B33" s="3" t="s">
        <v>43</v>
      </c>
      <c r="C33" s="10"/>
      <c r="D33" s="10" t="s">
        <v>50</v>
      </c>
      <c r="E33" s="10"/>
      <c r="F33" s="10"/>
      <c r="G33" s="10" t="n">
        <f aca="false">'Balance Sheet'!B5/('Income Statement'!C3+'Income Statement'!C4+'Income Statement'!C5+'Income Statement'!C6+'Income Statement'!C7)</f>
        <v>0.0581121122331741</v>
      </c>
      <c r="H33" s="10" t="n">
        <f aca="false">'Balance Sheet'!C5/('Income Statement'!D3+'Income Statement'!D4+'Income Statement'!D5+'Income Statement'!D6+'Income Statement'!D7)</f>
        <v>0.0601041727629192</v>
      </c>
      <c r="I33" s="10" t="n">
        <f aca="false">'Balance Sheet'!D5/('Income Statement'!E3+'Income Statement'!E4+'Income Statement'!E5+'Income Statement'!E6+'Income Statement'!E7)</f>
        <v>0.0590242053392538</v>
      </c>
      <c r="J33" s="10" t="n">
        <f aca="false">'Balance Sheet'!E5/('Income Statement'!F3+'Income Statement'!F4+'Income Statement'!F5+'Income Statement'!F6+'Income Statement'!F7)</f>
        <v>0.0604951683915604</v>
      </c>
      <c r="K33" s="10" t="n">
        <f aca="false">'Balance Sheet'!F5/('Income Statement'!G3+'Income Statement'!G4+'Income Statement'!G5+'Income Statement'!G6+'Income Statement'!G7)</f>
        <v>0.0795637314032971</v>
      </c>
      <c r="L33" s="10" t="n">
        <f aca="false">'Balance Sheet'!G5/('Income Statement'!H3+'Income Statement'!H4+'Income Statement'!H5+'Income Statement'!H6+'Income Statement'!H7)</f>
        <v>0.0784160479353914</v>
      </c>
      <c r="M33" s="20" t="n">
        <f aca="false">AVERAGE($G33:$L33)</f>
        <v>0.0659525730109327</v>
      </c>
      <c r="N33" s="20" t="n">
        <f aca="false">AVERAGE($G33:$L33)</f>
        <v>0.0659525730109327</v>
      </c>
      <c r="O33" s="20" t="n">
        <f aca="false">AVERAGE($G33:$L33)</f>
        <v>0.0659525730109327</v>
      </c>
      <c r="P33" s="20" t="n">
        <f aca="false">AVERAGE($G33:$L33)</f>
        <v>0.0659525730109327</v>
      </c>
      <c r="Q33" s="20" t="n">
        <f aca="false">AVERAGE($G33:$L33)</f>
        <v>0.0659525730109327</v>
      </c>
      <c r="R33" s="20" t="n">
        <f aca="false">AVERAGE($G33:$L33)</f>
        <v>0.0659525730109327</v>
      </c>
      <c r="S33" s="20" t="n">
        <f aca="false">AVERAGE($G33:$L33)</f>
        <v>0.0659525730109327</v>
      </c>
      <c r="T33" s="20" t="n">
        <f aca="false">AVERAGE($G33:$L33)</f>
        <v>0.0659525730109327</v>
      </c>
      <c r="U33" s="20" t="n">
        <f aca="false">AVERAGE($G33:$L33)</f>
        <v>0.0659525730109327</v>
      </c>
      <c r="V33" s="20" t="n">
        <f aca="false">AVERAGE($G33:$L33)</f>
        <v>0.0659525730109327</v>
      </c>
      <c r="W33" s="3"/>
      <c r="X33" s="21"/>
    </row>
    <row r="34" customFormat="false" ht="15.75" hidden="false" customHeight="false" outlineLevel="0" collapsed="false">
      <c r="A34" s="14"/>
      <c r="B34" s="3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3"/>
      <c r="X34" s="21"/>
    </row>
    <row r="35" customFormat="false" ht="15.75" hidden="false" customHeight="false" outlineLevel="0" collapsed="false">
      <c r="A35" s="14"/>
      <c r="B35" s="3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3"/>
      <c r="X35" s="21"/>
    </row>
    <row r="36" customFormat="false" ht="15.75" hidden="false" customHeight="false" outlineLevel="0" collapsed="false">
      <c r="A36" s="14"/>
      <c r="B36" s="3"/>
      <c r="C36" s="19" t="s">
        <v>51</v>
      </c>
      <c r="D36" s="10"/>
      <c r="E36" s="10"/>
      <c r="F36" s="10"/>
      <c r="G36" s="10"/>
      <c r="H36" s="10"/>
      <c r="I36" s="10"/>
      <c r="J36" s="10"/>
      <c r="K36" s="10"/>
      <c r="L36" s="1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3"/>
      <c r="X36" s="21"/>
    </row>
    <row r="37" customFormat="false" ht="15.75" hidden="false" customHeight="false" outlineLevel="0" collapsed="false">
      <c r="A37" s="14" t="s">
        <v>17</v>
      </c>
      <c r="B37" s="3" t="s">
        <v>52</v>
      </c>
      <c r="C37" s="10" t="s">
        <v>53</v>
      </c>
      <c r="D37" s="10"/>
      <c r="E37" s="10"/>
      <c r="F37" s="10"/>
      <c r="G37" s="10"/>
      <c r="H37" s="10" t="n">
        <f aca="false">('Balance Sheet'!C22-'Balance Sheet'!B22)/'Balance Sheet'!B22</f>
        <v>0.0437937740114781</v>
      </c>
      <c r="I37" s="10" t="n">
        <f aca="false">('Balance Sheet'!D22-'Balance Sheet'!C22)/'Balance Sheet'!C22</f>
        <v>0.0604656094273034</v>
      </c>
      <c r="J37" s="10" t="n">
        <f aca="false">('Balance Sheet'!E22-'Balance Sheet'!D22)/'Balance Sheet'!D22</f>
        <v>0.0729150300658449</v>
      </c>
      <c r="K37" s="10" t="n">
        <f aca="false">('Balance Sheet'!F22-'Balance Sheet'!E22)/'Balance Sheet'!E22</f>
        <v>0.31015202747677</v>
      </c>
      <c r="L37" s="10" t="n">
        <f aca="false">('Balance Sheet'!G22-'Balance Sheet'!F22)/'Balance Sheet'!F22</f>
        <v>0.0520850268249065</v>
      </c>
      <c r="M37" s="20" t="n">
        <f aca="false">AVERAGE($H37:$J37,$L37)</f>
        <v>0.0573148600823832</v>
      </c>
      <c r="N37" s="20" t="n">
        <f aca="false">AVERAGE($H37:$J37,$L37)</f>
        <v>0.0573148600823832</v>
      </c>
      <c r="O37" s="20" t="n">
        <f aca="false">AVERAGE($H37:$J37,$L37)</f>
        <v>0.0573148600823832</v>
      </c>
      <c r="P37" s="20" t="n">
        <f aca="false">AVERAGE($H37:$J37,$L37)</f>
        <v>0.0573148600823832</v>
      </c>
      <c r="Q37" s="20" t="n">
        <f aca="false">AVERAGE($H37:$J37,$L37)</f>
        <v>0.0573148600823832</v>
      </c>
      <c r="R37" s="20" t="n">
        <f aca="false">AVERAGE($H37:$J37,$L37)</f>
        <v>0.0573148600823832</v>
      </c>
      <c r="S37" s="20" t="n">
        <f aca="false">AVERAGE($H37:$J37,$L37)</f>
        <v>0.0573148600823832</v>
      </c>
      <c r="T37" s="20" t="n">
        <f aca="false">AVERAGE($H37:$J37,$L37)</f>
        <v>0.0573148600823832</v>
      </c>
      <c r="U37" s="20" t="n">
        <f aca="false">AVERAGE($H37:$J37,$L37)</f>
        <v>0.0573148600823832</v>
      </c>
      <c r="V37" s="20" t="n">
        <f aca="false">AVERAGE($H37:$J37,$L37)</f>
        <v>0.0573148600823832</v>
      </c>
      <c r="W37" s="3"/>
      <c r="X37" s="21"/>
    </row>
    <row r="38" customFormat="false" ht="15.75" hidden="false" customHeight="false" outlineLevel="0" collapsed="false">
      <c r="A38" s="14"/>
      <c r="B38" s="3"/>
      <c r="C38" s="19" t="s">
        <v>54</v>
      </c>
      <c r="D38" s="10"/>
      <c r="E38" s="10"/>
      <c r="F38" s="10"/>
      <c r="G38" s="10"/>
      <c r="H38" s="10"/>
      <c r="I38" s="10"/>
      <c r="J38" s="10"/>
      <c r="K38" s="10"/>
      <c r="L38" s="1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3"/>
      <c r="X38" s="21"/>
    </row>
    <row r="39" customFormat="false" ht="15.75" hidden="false" customHeight="false" outlineLevel="0" collapsed="false">
      <c r="A39" s="14" t="s">
        <v>21</v>
      </c>
      <c r="B39" s="3" t="s">
        <v>55</v>
      </c>
      <c r="C39" s="10"/>
      <c r="D39" s="10" t="s">
        <v>56</v>
      </c>
      <c r="E39" s="10"/>
      <c r="F39" s="10"/>
      <c r="G39" s="10" t="n">
        <f aca="false">'Balance Sheet'!B56/('Income Statement'!C10+'Income Statement'!C11+'Income Statement'!C12+'Income Statement'!C13+'Income Statement'!C14)</f>
        <v>0.147978235356876</v>
      </c>
      <c r="H39" s="10" t="n">
        <f aca="false">'Balance Sheet'!C56/('Income Statement'!D10+'Income Statement'!D11+'Income Statement'!D12+'Income Statement'!D13+'Income Statement'!D14)</f>
        <v>0.140165019863502</v>
      </c>
      <c r="I39" s="10" t="n">
        <f aca="false">'Balance Sheet'!D56/('Income Statement'!E10+'Income Statement'!E11+'Income Statement'!E12+'Income Statement'!E13+'Income Statement'!E14)</f>
        <v>0.144411204786511</v>
      </c>
      <c r="J39" s="10" t="n">
        <f aca="false">'Balance Sheet'!E56/('Income Statement'!F10+'Income Statement'!F11+'Income Statement'!F12+'Income Statement'!F13+'Income Statement'!F14)</f>
        <v>0.194169809397615</v>
      </c>
      <c r="K39" s="10" t="n">
        <f aca="false">'Balance Sheet'!F56/('Income Statement'!G10+'Income Statement'!G11+'Income Statement'!G12+'Income Statement'!G13+'Income Statement'!G14)</f>
        <v>0.198503207412687</v>
      </c>
      <c r="L39" s="10" t="n">
        <f aca="false">'Balance Sheet'!G56/('Income Statement'!H10+'Income Statement'!H11+'Income Statement'!H12+'Income Statement'!H13+'Income Statement'!H14)</f>
        <v>0.196764660133769</v>
      </c>
      <c r="M39" s="20" t="n">
        <f aca="false">AVERAGE(G39:L39)</f>
        <v>0.17033202282516</v>
      </c>
      <c r="N39" s="20" t="n">
        <f aca="false">AVERAGE(H39:M39)</f>
        <v>0.174057654069874</v>
      </c>
      <c r="O39" s="20" t="n">
        <f aca="false">AVERAGE(I39:N39)</f>
        <v>0.179706426437603</v>
      </c>
      <c r="P39" s="20" t="n">
        <f aca="false">AVERAGE(J39:O39)</f>
        <v>0.185588963379451</v>
      </c>
      <c r="Q39" s="20" t="n">
        <f aca="false">AVERAGE(K39:P39)</f>
        <v>0.184158822376424</v>
      </c>
      <c r="R39" s="20" t="n">
        <f aca="false">AVERAGE(L39:Q39)</f>
        <v>0.181768091537047</v>
      </c>
      <c r="S39" s="20" t="n">
        <f aca="false">AVERAGE(M39:R39)</f>
        <v>0.179268663437593</v>
      </c>
      <c r="T39" s="20" t="n">
        <f aca="false">AVERAGE(N39:S39)</f>
        <v>0.180758103539665</v>
      </c>
      <c r="U39" s="20" t="n">
        <f aca="false">AVERAGE(O39:T39)</f>
        <v>0.181874845117964</v>
      </c>
      <c r="V39" s="20" t="n">
        <f aca="false">AVERAGE(P39:U39)</f>
        <v>0.182236248231357</v>
      </c>
      <c r="W39" s="3"/>
      <c r="X39" s="21"/>
    </row>
    <row r="40" customFormat="false" ht="15.75" hidden="false" customHeight="false" outlineLevel="0" collapsed="false">
      <c r="A40" s="14"/>
      <c r="B40" s="3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3"/>
      <c r="X40" s="21"/>
    </row>
    <row r="41" customFormat="false" ht="15.75" hidden="false" customHeight="false" outlineLevel="0" collapsed="false">
      <c r="A41" s="14"/>
      <c r="B41" s="3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3"/>
      <c r="X41" s="21"/>
    </row>
    <row r="42" customFormat="false" ht="15.75" hidden="false" customHeight="false" outlineLevel="0" collapsed="false">
      <c r="A42" s="14" t="s">
        <v>57</v>
      </c>
      <c r="B42" s="3"/>
      <c r="C42" s="10"/>
      <c r="D42" s="10" t="s">
        <v>58</v>
      </c>
      <c r="E42" s="10"/>
      <c r="F42" s="10"/>
      <c r="G42" s="10"/>
      <c r="H42" s="10"/>
      <c r="I42" s="10"/>
      <c r="J42" s="10"/>
      <c r="K42" s="10"/>
      <c r="L42" s="20" t="n">
        <v>0.0176331619701785</v>
      </c>
      <c r="M42" s="20" t="n">
        <v>0.0264497429552678</v>
      </c>
      <c r="N42" s="20" t="n">
        <v>0.0396746144329017</v>
      </c>
      <c r="O42" s="20" t="n">
        <v>0.015</v>
      </c>
      <c r="P42" s="20" t="n">
        <v>0.01</v>
      </c>
      <c r="Q42" s="20" t="n">
        <v>0.01</v>
      </c>
      <c r="R42" s="20" t="n">
        <v>0.01</v>
      </c>
      <c r="S42" s="20" t="n">
        <v>0.015</v>
      </c>
      <c r="T42" s="20" t="n">
        <v>0.015</v>
      </c>
      <c r="U42" s="20" t="n">
        <v>0.015</v>
      </c>
      <c r="V42" s="20" t="n">
        <v>0.015</v>
      </c>
      <c r="W42" s="3"/>
      <c r="X42" s="13" t="n">
        <f aca="false">(L42+M42+N42+O42+P42+Q42+R42+S42+T42+U42)/COUNT(L42:U42)</f>
        <v>0.0173757519358348</v>
      </c>
    </row>
    <row r="43" customFormat="false" ht="15.75" hidden="false" customHeight="false" outlineLevel="0" collapsed="false">
      <c r="A43" s="14" t="s">
        <v>57</v>
      </c>
      <c r="B43" s="3"/>
      <c r="C43" s="10"/>
      <c r="D43" s="10" t="s">
        <v>59</v>
      </c>
      <c r="E43" s="10"/>
      <c r="F43" s="10"/>
      <c r="G43" s="10"/>
      <c r="H43" s="10"/>
      <c r="I43" s="10"/>
      <c r="J43" s="10"/>
      <c r="K43" s="10"/>
      <c r="L43" s="22" t="n">
        <v>0.706202073788281</v>
      </c>
      <c r="M43" s="22" t="n">
        <v>0.71</v>
      </c>
      <c r="N43" s="22" t="n">
        <v>0.71</v>
      </c>
      <c r="O43" s="22" t="n">
        <v>0.71</v>
      </c>
      <c r="P43" s="22" t="n">
        <v>0.71</v>
      </c>
      <c r="Q43" s="22" t="n">
        <v>0.67</v>
      </c>
      <c r="R43" s="22" t="n">
        <v>0.67</v>
      </c>
      <c r="S43" s="22" t="n">
        <v>0.69</v>
      </c>
      <c r="T43" s="22" t="n">
        <v>0.69</v>
      </c>
      <c r="U43" s="22" t="n">
        <v>0.69</v>
      </c>
      <c r="V43" s="22" t="n">
        <v>0.69</v>
      </c>
      <c r="W43" s="23"/>
      <c r="X43" s="13" t="n">
        <f aca="false">(L43+M43+N43+O43+P43+Q43+R43+S43+T43+U43)/COUNT(L43:U43)</f>
        <v>0.695620207378828</v>
      </c>
    </row>
    <row r="44" customFormat="false" ht="15.75" hidden="false" customHeight="false" outlineLevel="0" collapsed="false">
      <c r="A44" s="14" t="s">
        <v>57</v>
      </c>
      <c r="B44" s="3"/>
      <c r="C44" s="10"/>
      <c r="D44" s="10" t="s">
        <v>60</v>
      </c>
      <c r="E44" s="10"/>
      <c r="F44" s="10"/>
      <c r="G44" s="10"/>
      <c r="H44" s="10"/>
      <c r="I44" s="10"/>
      <c r="J44" s="10"/>
      <c r="K44" s="10"/>
      <c r="L44" s="24" t="n">
        <v>41.3207547169811</v>
      </c>
      <c r="M44" s="24" t="n">
        <v>45</v>
      </c>
      <c r="N44" s="24" t="n">
        <v>45</v>
      </c>
      <c r="O44" s="24" t="n">
        <v>40</v>
      </c>
      <c r="P44" s="24" t="n">
        <v>40</v>
      </c>
      <c r="Q44" s="10" t="n">
        <v>40</v>
      </c>
      <c r="R44" s="10" t="n">
        <v>40</v>
      </c>
      <c r="S44" s="10" t="n">
        <v>41</v>
      </c>
      <c r="T44" s="10" t="n">
        <v>41</v>
      </c>
      <c r="U44" s="10" t="n">
        <v>41</v>
      </c>
      <c r="V44" s="10" t="n">
        <v>41</v>
      </c>
      <c r="W44" s="3"/>
      <c r="X44" s="21" t="n">
        <f aca="false">(L44+M44+N44+O44+P44+Q44+R44+S44+T44+U44)/COUNT(L44:U44)</f>
        <v>41.4320754716981</v>
      </c>
    </row>
    <row r="45" customFormat="false" ht="15.75" hidden="false" customHeight="false" outlineLevel="0" collapsed="false">
      <c r="A45" s="14" t="s">
        <v>57</v>
      </c>
      <c r="B45" s="3"/>
      <c r="C45" s="10"/>
      <c r="D45" s="10" t="s">
        <v>61</v>
      </c>
      <c r="E45" s="10"/>
      <c r="F45" s="10"/>
      <c r="G45" s="10"/>
      <c r="H45" s="10"/>
      <c r="I45" s="10"/>
      <c r="J45" s="10"/>
      <c r="K45" s="10"/>
      <c r="L45" s="25" t="n">
        <v>126.706511325223</v>
      </c>
      <c r="M45" s="25" t="n">
        <v>130</v>
      </c>
      <c r="N45" s="25" t="n">
        <v>130</v>
      </c>
      <c r="O45" s="25" t="n">
        <v>125</v>
      </c>
      <c r="P45" s="25" t="n">
        <v>120</v>
      </c>
      <c r="Q45" s="10" t="n">
        <v>120</v>
      </c>
      <c r="R45" s="10" t="n">
        <v>120</v>
      </c>
      <c r="S45" s="10" t="n">
        <v>125</v>
      </c>
      <c r="T45" s="10" t="n">
        <v>125</v>
      </c>
      <c r="U45" s="10" t="n">
        <v>125</v>
      </c>
      <c r="V45" s="10" t="n">
        <v>125</v>
      </c>
      <c r="W45" s="3"/>
      <c r="X45" s="21" t="n">
        <f aca="false">(L45+M45+N45+O45+P45+Q45+R45+S45+T45+U45)/COUNT(L45:U45)</f>
        <v>124.670651132522</v>
      </c>
    </row>
    <row r="46" customFormat="false" ht="15.75" hidden="false" customHeight="false" outlineLevel="0" collapsed="false">
      <c r="A46" s="14" t="s">
        <v>57</v>
      </c>
      <c r="B46" s="3"/>
      <c r="C46" s="10"/>
      <c r="D46" s="10" t="s">
        <v>62</v>
      </c>
      <c r="E46" s="10"/>
      <c r="F46" s="10"/>
      <c r="G46" s="10"/>
      <c r="H46" s="10"/>
      <c r="I46" s="10"/>
      <c r="J46" s="10"/>
      <c r="K46" s="10"/>
      <c r="L46" s="20" t="n">
        <v>0.138783694552306</v>
      </c>
      <c r="M46" s="20" t="n">
        <v>0.12</v>
      </c>
      <c r="N46" s="20" t="n">
        <v>0.11</v>
      </c>
      <c r="O46" s="20" t="n">
        <v>0.12</v>
      </c>
      <c r="P46" s="20" t="n">
        <v>0.13</v>
      </c>
      <c r="Q46" s="22" t="n">
        <v>0.13</v>
      </c>
      <c r="R46" s="22" t="n">
        <v>0.13</v>
      </c>
      <c r="S46" s="22" t="n">
        <v>0.12</v>
      </c>
      <c r="T46" s="22" t="n">
        <v>0.12</v>
      </c>
      <c r="U46" s="22" t="n">
        <v>0.12</v>
      </c>
      <c r="V46" s="22" t="n">
        <v>0.12</v>
      </c>
      <c r="W46" s="23"/>
      <c r="X46" s="13" t="n">
        <f aca="false">(L46+M46+N46+O46+P46+Q46+R46+S46+T46+U46)/COUNT(L46:U46)</f>
        <v>0.123878369455231</v>
      </c>
    </row>
    <row r="47" customFormat="false" ht="15.75" hidden="false" customHeight="false" outlineLevel="0" collapsed="false">
      <c r="A47" s="14" t="s">
        <v>57</v>
      </c>
      <c r="B47" s="3"/>
      <c r="C47" s="10"/>
      <c r="D47" s="10" t="s">
        <v>63</v>
      </c>
      <c r="E47" s="10"/>
      <c r="F47" s="10"/>
      <c r="G47" s="10"/>
      <c r="H47" s="10"/>
      <c r="I47" s="10"/>
      <c r="J47" s="10"/>
      <c r="K47" s="10"/>
      <c r="L47" s="20" t="n">
        <v>0.00653552055421214</v>
      </c>
      <c r="M47" s="20" t="n">
        <v>0.005</v>
      </c>
      <c r="N47" s="20" t="n">
        <v>0.005</v>
      </c>
      <c r="O47" s="20" t="n">
        <v>0.0065</v>
      </c>
      <c r="P47" s="20" t="n">
        <v>0.0065</v>
      </c>
      <c r="Q47" s="20" t="n">
        <v>0.007</v>
      </c>
      <c r="R47" s="20" t="n">
        <v>0.007</v>
      </c>
      <c r="S47" s="20" t="n">
        <v>0.007</v>
      </c>
      <c r="T47" s="20" t="n">
        <v>0.007</v>
      </c>
      <c r="U47" s="20" t="n">
        <v>0.007</v>
      </c>
      <c r="V47" s="20" t="n">
        <v>0.007</v>
      </c>
      <c r="W47" s="26"/>
      <c r="X47" s="13" t="n">
        <f aca="false">(L47+M47+N47+O47+P47+Q47+R47+S47+T47+U47)/COUNT(L47:U47)</f>
        <v>0.00645355205542121</v>
      </c>
    </row>
    <row r="48" customFormat="false" ht="15.75" hidden="false" customHeight="false" outlineLevel="0" collapsed="false">
      <c r="A48" s="14" t="s">
        <v>57</v>
      </c>
      <c r="B48" s="3"/>
      <c r="C48" s="10"/>
      <c r="D48" s="10" t="s">
        <v>64</v>
      </c>
      <c r="E48" s="10"/>
      <c r="F48" s="10"/>
      <c r="G48" s="10"/>
      <c r="H48" s="10"/>
      <c r="I48" s="10"/>
      <c r="J48" s="10"/>
      <c r="K48" s="10"/>
      <c r="L48" s="20" t="n">
        <v>0.00633107735943426</v>
      </c>
      <c r="M48" s="20" t="n">
        <v>0.007</v>
      </c>
      <c r="N48" s="20" t="n">
        <v>0.007</v>
      </c>
      <c r="O48" s="20" t="n">
        <v>0.007</v>
      </c>
      <c r="P48" s="20" t="n">
        <v>0.007</v>
      </c>
      <c r="Q48" s="20" t="n">
        <v>0.007</v>
      </c>
      <c r="R48" s="20" t="n">
        <v>0.007</v>
      </c>
      <c r="S48" s="20" t="n">
        <v>0.007</v>
      </c>
      <c r="T48" s="20" t="n">
        <v>0.007</v>
      </c>
      <c r="U48" s="20" t="n">
        <v>0.007</v>
      </c>
      <c r="V48" s="20" t="n">
        <v>0.007</v>
      </c>
      <c r="W48" s="26"/>
      <c r="X48" s="13" t="n">
        <f aca="false">(L48+M48+N48+O48+P48+Q48+R48+S48+T48+U48)/COUNT(L48:U48)</f>
        <v>0.00693310773594343</v>
      </c>
    </row>
    <row r="49" customFormat="false" ht="15.75" hidden="false" customHeight="false" outlineLevel="0" collapsed="false">
      <c r="A49" s="14" t="s">
        <v>57</v>
      </c>
      <c r="B49" s="3"/>
      <c r="C49" s="10"/>
      <c r="D49" s="10" t="s">
        <v>65</v>
      </c>
      <c r="E49" s="10"/>
      <c r="F49" s="10"/>
      <c r="G49" s="10"/>
      <c r="H49" s="10"/>
      <c r="I49" s="10"/>
      <c r="J49" s="10"/>
      <c r="K49" s="10"/>
      <c r="L49" s="20" t="n">
        <v>0.0474830801957569</v>
      </c>
      <c r="M49" s="20" t="n">
        <v>0.05</v>
      </c>
      <c r="N49" s="20" t="n">
        <v>0.05</v>
      </c>
      <c r="O49" s="20" t="n">
        <v>0.05</v>
      </c>
      <c r="P49" s="20" t="n">
        <v>0.05</v>
      </c>
      <c r="Q49" s="20" t="n">
        <v>0.05</v>
      </c>
      <c r="R49" s="20" t="n">
        <v>0.05</v>
      </c>
      <c r="S49" s="20" t="n">
        <v>0.05</v>
      </c>
      <c r="T49" s="20" t="n">
        <v>0.05</v>
      </c>
      <c r="U49" s="20" t="n">
        <v>0.05</v>
      </c>
      <c r="V49" s="20" t="n">
        <v>0.05</v>
      </c>
      <c r="W49" s="27"/>
      <c r="X49" s="13" t="n">
        <f aca="false">(L49+M49+N49+O49+P49+Q49+R49+S49+T49+U49)/COUNT(L49:U49)</f>
        <v>0.0497483080195757</v>
      </c>
    </row>
    <row r="50" customFormat="false" ht="15.75" hidden="false" customHeight="false" outlineLevel="0" collapsed="false">
      <c r="A50" s="14" t="s">
        <v>57</v>
      </c>
      <c r="B50" s="3"/>
      <c r="C50" s="10" t="s">
        <v>66</v>
      </c>
      <c r="D50" s="10"/>
      <c r="E50" s="10"/>
      <c r="F50" s="10"/>
      <c r="G50" s="10"/>
      <c r="H50" s="10"/>
      <c r="I50" s="10"/>
      <c r="J50" s="10"/>
      <c r="K50" s="10"/>
      <c r="L50" s="25" t="n">
        <v>13.75</v>
      </c>
      <c r="M50" s="10" t="n">
        <v>15</v>
      </c>
      <c r="N50" s="10" t="n">
        <v>15</v>
      </c>
      <c r="O50" s="10" t="n">
        <v>15</v>
      </c>
      <c r="P50" s="10" t="n">
        <v>15</v>
      </c>
      <c r="Q50" s="10" t="n">
        <v>15</v>
      </c>
      <c r="R50" s="10" t="n">
        <v>15</v>
      </c>
      <c r="S50" s="10" t="n">
        <v>15</v>
      </c>
      <c r="T50" s="10" t="n">
        <v>15</v>
      </c>
      <c r="U50" s="10" t="n">
        <v>15</v>
      </c>
      <c r="V50" s="10" t="n">
        <v>15</v>
      </c>
      <c r="W50" s="3"/>
      <c r="X50" s="21" t="n">
        <f aca="false">(L50+M50+N50+O50+P50+Q50+R50+S50+T50+U50)/COUNT(L50:U50)</f>
        <v>14.875</v>
      </c>
    </row>
    <row r="51" customFormat="false" ht="15.75" hidden="false" customHeight="false" outlineLevel="0" collapsed="false">
      <c r="A51" s="14" t="s">
        <v>57</v>
      </c>
      <c r="B51" s="3"/>
      <c r="C51" s="10" t="s">
        <v>67</v>
      </c>
      <c r="D51" s="10"/>
      <c r="E51" s="10"/>
      <c r="F51" s="10"/>
      <c r="G51" s="10"/>
      <c r="H51" s="10"/>
      <c r="I51" s="10"/>
      <c r="J51" s="10"/>
      <c r="K51" s="10"/>
      <c r="L51" s="25" t="n">
        <v>40</v>
      </c>
      <c r="M51" s="10" t="n">
        <v>40</v>
      </c>
      <c r="N51" s="10" t="n">
        <v>40</v>
      </c>
      <c r="O51" s="10" t="n">
        <v>40</v>
      </c>
      <c r="P51" s="10" t="n">
        <v>35</v>
      </c>
      <c r="Q51" s="10" t="n">
        <v>35</v>
      </c>
      <c r="R51" s="10" t="n">
        <v>35</v>
      </c>
      <c r="S51" s="10" t="n">
        <v>35</v>
      </c>
      <c r="T51" s="10" t="n">
        <v>35</v>
      </c>
      <c r="U51" s="10" t="n">
        <v>35</v>
      </c>
      <c r="V51" s="10" t="n">
        <v>35</v>
      </c>
      <c r="W51" s="3"/>
      <c r="X51" s="21" t="n">
        <f aca="false">(L51+M51+N51+O51+P51+Q51+R51+S51+T51+U51)/COUNT(L51:U51)</f>
        <v>37</v>
      </c>
    </row>
    <row r="52" customFormat="false" ht="15.75" hidden="false" customHeight="false" outlineLevel="0" collapsed="false">
      <c r="A52" s="14" t="s">
        <v>68</v>
      </c>
      <c r="B52" s="3"/>
      <c r="C52" s="10"/>
      <c r="D52" s="10" t="s">
        <v>69</v>
      </c>
      <c r="E52" s="10"/>
      <c r="F52" s="10"/>
      <c r="G52" s="10"/>
      <c r="H52" s="10"/>
      <c r="I52" s="10"/>
      <c r="J52" s="10"/>
      <c r="K52" s="10"/>
      <c r="L52" s="20" t="n">
        <v>0.428960259718403</v>
      </c>
      <c r="M52" s="20" t="n">
        <v>0.39</v>
      </c>
      <c r="N52" s="20" t="n">
        <v>0.37</v>
      </c>
      <c r="O52" s="20" t="n">
        <v>0.34</v>
      </c>
      <c r="P52" s="20" t="n">
        <v>0.34</v>
      </c>
      <c r="Q52" s="20" t="n">
        <v>0.34</v>
      </c>
      <c r="R52" s="20" t="n">
        <v>0.34</v>
      </c>
      <c r="S52" s="20" t="n">
        <v>0.34</v>
      </c>
      <c r="T52" s="20" t="n">
        <v>0.34</v>
      </c>
      <c r="U52" s="20" t="n">
        <v>0.34</v>
      </c>
      <c r="V52" s="20" t="n">
        <v>0.34</v>
      </c>
      <c r="W52" s="26"/>
      <c r="X52" s="13" t="n">
        <f aca="false">(L52+M52+N52+O52+P52+Q52+R52+S52+T52+U52)/COUNT(L52:U52)</f>
        <v>0.35689602597184</v>
      </c>
    </row>
    <row r="53" customFormat="false" ht="15.75" hidden="false" customHeight="false" outlineLevel="0" collapsed="false">
      <c r="A53" s="14" t="s">
        <v>68</v>
      </c>
      <c r="B53" s="3"/>
      <c r="C53" s="10"/>
      <c r="D53" s="10" t="s">
        <v>70</v>
      </c>
      <c r="E53" s="10"/>
      <c r="F53" s="10"/>
      <c r="G53" s="10"/>
      <c r="H53" s="10"/>
      <c r="I53" s="10"/>
      <c r="J53" s="10"/>
      <c r="K53" s="10"/>
      <c r="L53" s="16" t="n">
        <v>0</v>
      </c>
      <c r="M53" s="16" t="n">
        <v>0</v>
      </c>
      <c r="N53" s="16" t="n">
        <v>0</v>
      </c>
      <c r="O53" s="16" t="n">
        <v>0</v>
      </c>
      <c r="P53" s="16" t="n">
        <v>0</v>
      </c>
      <c r="Q53" s="16" t="n">
        <v>0</v>
      </c>
      <c r="R53" s="16" t="n">
        <v>0</v>
      </c>
      <c r="S53" s="16" t="n">
        <v>0</v>
      </c>
      <c r="T53" s="16" t="n">
        <v>0</v>
      </c>
      <c r="U53" s="28" t="n">
        <v>0</v>
      </c>
      <c r="V53" s="28" t="n">
        <v>0</v>
      </c>
      <c r="W53" s="3"/>
      <c r="X53" s="17"/>
    </row>
    <row r="54" customFormat="false" ht="15.75" hidden="false" customHeight="false" outlineLevel="0" collapsed="false">
      <c r="A54" s="14" t="s">
        <v>71</v>
      </c>
      <c r="B54" s="3"/>
      <c r="C54" s="10"/>
      <c r="D54" s="10" t="s">
        <v>72</v>
      </c>
      <c r="E54" s="10"/>
      <c r="F54" s="10"/>
      <c r="G54" s="10"/>
      <c r="H54" s="10"/>
      <c r="I54" s="10"/>
      <c r="J54" s="10"/>
      <c r="K54" s="10"/>
      <c r="L54" s="16" t="n">
        <v>0</v>
      </c>
      <c r="M54" s="16" t="n">
        <v>0</v>
      </c>
      <c r="N54" s="16" t="n">
        <v>0</v>
      </c>
      <c r="O54" s="16" t="n">
        <v>0</v>
      </c>
      <c r="P54" s="16" t="n">
        <v>0</v>
      </c>
      <c r="Q54" s="16" t="n">
        <v>0</v>
      </c>
      <c r="R54" s="16" t="n">
        <v>0</v>
      </c>
      <c r="S54" s="16" t="n">
        <v>0</v>
      </c>
      <c r="T54" s="16" t="n">
        <v>0</v>
      </c>
      <c r="U54" s="16" t="n">
        <v>0</v>
      </c>
      <c r="V54" s="16" t="n">
        <v>0</v>
      </c>
      <c r="W54" s="3"/>
      <c r="X54" s="17"/>
    </row>
    <row r="55" customFormat="false" ht="15.75" hidden="false" customHeight="false" outlineLevel="0" collapsed="false">
      <c r="A55" s="14" t="s">
        <v>57</v>
      </c>
      <c r="B55" s="3"/>
      <c r="C55" s="10" t="s">
        <v>73</v>
      </c>
      <c r="D55" s="10"/>
      <c r="E55" s="10"/>
      <c r="F55" s="10"/>
      <c r="G55" s="10"/>
      <c r="H55" s="10"/>
      <c r="I55" s="10"/>
      <c r="J55" s="10"/>
      <c r="K55" s="10"/>
      <c r="L55" s="20" t="n">
        <v>0.000980040870154685</v>
      </c>
      <c r="M55" s="20" t="n">
        <v>0.021</v>
      </c>
      <c r="N55" s="20" t="n">
        <v>0.021</v>
      </c>
      <c r="O55" s="20" t="n">
        <v>0.021</v>
      </c>
      <c r="P55" s="20" t="n">
        <v>0.021</v>
      </c>
      <c r="Q55" s="20" t="n">
        <v>0.021</v>
      </c>
      <c r="R55" s="20" t="n">
        <v>0.021</v>
      </c>
      <c r="S55" s="20" t="n">
        <v>0.021</v>
      </c>
      <c r="T55" s="20" t="n">
        <v>0.021</v>
      </c>
      <c r="U55" s="20" t="n">
        <v>0.021</v>
      </c>
      <c r="V55" s="20" t="n">
        <v>0.021</v>
      </c>
      <c r="W55" s="3"/>
      <c r="X55" s="17"/>
    </row>
    <row r="56" customFormat="false" ht="18.75" hidden="false" customHeight="false" outlineLevel="0" collapsed="false">
      <c r="A56" s="14"/>
      <c r="B56" s="3"/>
      <c r="C56" s="4" t="s">
        <v>74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8"/>
      <c r="R56" s="18"/>
      <c r="S56" s="18"/>
      <c r="T56" s="18"/>
      <c r="U56" s="18"/>
      <c r="V56" s="18"/>
      <c r="W56" s="3"/>
      <c r="X56" s="17"/>
    </row>
    <row r="57" customFormat="false" ht="15.75" hidden="false" customHeight="false" outlineLevel="0" collapsed="false">
      <c r="A57" s="14" t="s">
        <v>75</v>
      </c>
      <c r="B57" s="3"/>
      <c r="C57" s="10" t="s">
        <v>76</v>
      </c>
      <c r="D57" s="10"/>
      <c r="E57" s="10"/>
      <c r="F57" s="10"/>
      <c r="G57" s="10"/>
      <c r="H57" s="10"/>
      <c r="I57" s="10"/>
      <c r="J57" s="10"/>
      <c r="K57" s="10"/>
      <c r="L57" s="25" t="n">
        <v>0</v>
      </c>
      <c r="M57" s="25" t="n">
        <v>0</v>
      </c>
      <c r="N57" s="25" t="n">
        <v>0</v>
      </c>
      <c r="O57" s="25" t="n">
        <v>0</v>
      </c>
      <c r="P57" s="25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3"/>
      <c r="X57" s="13" t="n">
        <f aca="false">(L57+M57+N57+O57+P57+Q57+R57+S57+T57+U57)/COUNT(L57:U57)</f>
        <v>0</v>
      </c>
    </row>
    <row r="58" customFormat="false" ht="15.75" hidden="false" customHeight="false" outlineLevel="0" collapsed="false">
      <c r="A58" s="14"/>
      <c r="B58" s="3"/>
      <c r="C58" s="10"/>
      <c r="D58" s="10" t="s">
        <v>77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3"/>
      <c r="X58" s="17"/>
    </row>
    <row r="59" customFormat="false" ht="15.75" hidden="false" customHeight="false" outlineLevel="0" collapsed="false">
      <c r="A59" s="14"/>
      <c r="B59" s="3"/>
      <c r="C59" s="10"/>
      <c r="D59" s="10" t="s">
        <v>78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3"/>
      <c r="X59" s="17"/>
    </row>
    <row r="60" customFormat="false" ht="15.75" hidden="false" customHeight="false" outlineLevel="0" collapsed="false">
      <c r="A60" s="14" t="s">
        <v>79</v>
      </c>
      <c r="B60" s="3"/>
      <c r="C60" s="10" t="s">
        <v>80</v>
      </c>
      <c r="D60" s="10"/>
      <c r="E60" s="10"/>
      <c r="F60" s="10"/>
      <c r="G60" s="10"/>
      <c r="H60" s="10"/>
      <c r="I60" s="10"/>
      <c r="J60" s="10"/>
      <c r="K60" s="10"/>
      <c r="L60" s="16" t="n">
        <v>0.339847068819031</v>
      </c>
      <c r="M60" s="16" t="n">
        <v>0.339847068819031</v>
      </c>
      <c r="N60" s="16" t="n">
        <v>0.339847068819031</v>
      </c>
      <c r="O60" s="16" t="n">
        <v>0.339847068819031</v>
      </c>
      <c r="P60" s="16" t="n">
        <v>0.339847068819031</v>
      </c>
      <c r="Q60" s="10" t="n">
        <v>0.34</v>
      </c>
      <c r="R60" s="10" t="n">
        <v>0.34</v>
      </c>
      <c r="S60" s="10" t="n">
        <v>0.34</v>
      </c>
      <c r="T60" s="10" t="n">
        <v>0.34</v>
      </c>
      <c r="U60" s="10" t="n">
        <v>0.34</v>
      </c>
      <c r="V60" s="10" t="n">
        <v>0.34</v>
      </c>
      <c r="W60" s="3"/>
      <c r="X60" s="29" t="n">
        <f aca="false">(L60+M60+N60+O60+P60+Q60+R60+S60+T60+U60)/COUNT(L60:U60)</f>
        <v>0.339923534409515</v>
      </c>
    </row>
    <row r="61" customFormat="false" ht="15.75" hidden="false" customHeight="false" outlineLevel="0" collapsed="false">
      <c r="A61" s="14" t="s">
        <v>79</v>
      </c>
      <c r="B61" s="3"/>
      <c r="C61" s="10" t="s">
        <v>81</v>
      </c>
      <c r="D61" s="10"/>
      <c r="E61" s="10"/>
      <c r="F61" s="10"/>
      <c r="G61" s="10"/>
      <c r="H61" s="10"/>
      <c r="I61" s="10"/>
      <c r="J61" s="10"/>
      <c r="K61" s="10"/>
      <c r="L61" s="12" t="n">
        <v>0.087</v>
      </c>
      <c r="M61" s="12" t="n">
        <v>0.087</v>
      </c>
      <c r="N61" s="12" t="n">
        <v>0.087</v>
      </c>
      <c r="O61" s="12" t="n">
        <v>0.087</v>
      </c>
      <c r="P61" s="12" t="n">
        <v>0.087</v>
      </c>
      <c r="Q61" s="12" t="n">
        <v>0.087</v>
      </c>
      <c r="R61" s="12" t="n">
        <v>0.087</v>
      </c>
      <c r="S61" s="12" t="n">
        <v>0.087</v>
      </c>
      <c r="T61" s="12" t="n">
        <v>0.087</v>
      </c>
      <c r="U61" s="12" t="n">
        <v>0.087</v>
      </c>
      <c r="V61" s="12" t="n">
        <v>0.087</v>
      </c>
      <c r="W61" s="3"/>
      <c r="X61" s="13" t="n">
        <f aca="false">(L61+M61+N61+O61+P61+Q61+R61+S61+T61+U61)/COUNT(L61:U61)</f>
        <v>0.087</v>
      </c>
    </row>
    <row r="62" customFormat="false" ht="18.75" hidden="false" customHeight="false" outlineLevel="0" collapsed="false">
      <c r="A62" s="14"/>
      <c r="B62" s="3"/>
      <c r="C62" s="30" t="s">
        <v>82</v>
      </c>
      <c r="D62" s="31"/>
      <c r="E62" s="31"/>
      <c r="F62" s="31"/>
      <c r="G62" s="31"/>
      <c r="H62" s="31"/>
      <c r="I62" s="31"/>
      <c r="J62" s="31"/>
      <c r="K62" s="31"/>
      <c r="L62" s="5"/>
      <c r="M62" s="5"/>
      <c r="N62" s="5"/>
      <c r="O62" s="5"/>
      <c r="P62" s="5"/>
      <c r="Q62" s="18"/>
      <c r="R62" s="18"/>
      <c r="S62" s="18"/>
      <c r="T62" s="18"/>
      <c r="U62" s="18"/>
      <c r="V62" s="18"/>
      <c r="W62" s="3"/>
      <c r="X62" s="17"/>
    </row>
    <row r="63" customFormat="false" ht="15.75" hidden="false" customHeight="false" outlineLevel="0" collapsed="false">
      <c r="A63" s="14" t="s">
        <v>75</v>
      </c>
      <c r="B63" s="3"/>
      <c r="C63" s="32" t="s">
        <v>83</v>
      </c>
      <c r="D63" s="33"/>
      <c r="E63" s="33"/>
      <c r="F63" s="33"/>
      <c r="G63" s="33"/>
      <c r="H63" s="33"/>
      <c r="I63" s="33"/>
      <c r="J63" s="33"/>
      <c r="K63" s="33"/>
      <c r="L63" s="25" t="n">
        <v>0</v>
      </c>
      <c r="M63" s="25" t="n">
        <v>0</v>
      </c>
      <c r="N63" s="25" t="n">
        <v>0</v>
      </c>
      <c r="O63" s="25" t="n">
        <v>0</v>
      </c>
      <c r="P63" s="25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3"/>
      <c r="X63" s="29" t="n">
        <f aca="false">(L63+M63+N63+O63+P63+Q63+R63+S63+T63+U63)/COUNT(L63:U63)</f>
        <v>0</v>
      </c>
    </row>
    <row r="64" customFormat="false" ht="15.75" hidden="false" customHeight="false" outlineLevel="0" collapsed="false">
      <c r="A64" s="14" t="s">
        <v>75</v>
      </c>
      <c r="B64" s="3"/>
      <c r="C64" s="32" t="s">
        <v>84</v>
      </c>
      <c r="D64" s="32"/>
      <c r="E64" s="33"/>
      <c r="F64" s="33"/>
      <c r="G64" s="33"/>
      <c r="H64" s="33"/>
      <c r="I64" s="33"/>
      <c r="J64" s="33"/>
      <c r="K64" s="33"/>
      <c r="L64" s="25" t="n">
        <v>0</v>
      </c>
      <c r="M64" s="25" t="n">
        <v>0</v>
      </c>
      <c r="N64" s="25" t="n">
        <v>0</v>
      </c>
      <c r="O64" s="25" t="n">
        <v>0</v>
      </c>
      <c r="P64" s="25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3"/>
      <c r="X64" s="29" t="n">
        <f aca="false">(L64+M64+N64+O64+P64+Q64+R64+S64+T64+U64)/COUNT(L64:U64)</f>
        <v>0</v>
      </c>
    </row>
    <row r="65" customFormat="false" ht="15.75" hidden="false" customHeight="false" outlineLevel="0" collapsed="false">
      <c r="A65" s="14" t="s">
        <v>75</v>
      </c>
      <c r="B65" s="3"/>
      <c r="C65" s="32" t="s">
        <v>85</v>
      </c>
      <c r="D65" s="32"/>
      <c r="E65" s="33"/>
      <c r="F65" s="33"/>
      <c r="G65" s="33"/>
      <c r="H65" s="33"/>
      <c r="I65" s="33"/>
      <c r="J65" s="33"/>
      <c r="K65" s="33"/>
      <c r="L65" s="25" t="n">
        <v>0</v>
      </c>
      <c r="M65" s="25" t="n">
        <v>0</v>
      </c>
      <c r="N65" s="25" t="n">
        <v>0</v>
      </c>
      <c r="O65" s="25" t="n">
        <v>0</v>
      </c>
      <c r="P65" s="25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3"/>
      <c r="X65" s="29" t="n">
        <f aca="false">(L65+M65+N65+O65+P65+Q65+R65+S65+T65+U65)/COUNT(L65:U65)</f>
        <v>0</v>
      </c>
    </row>
    <row r="66" customFormat="false" ht="15.75" hidden="false" customHeight="false" outlineLevel="0" collapsed="false">
      <c r="A66" s="14" t="s">
        <v>86</v>
      </c>
      <c r="B66" s="3"/>
      <c r="C66" s="33" t="s">
        <v>87</v>
      </c>
      <c r="D66" s="33"/>
      <c r="E66" s="33"/>
      <c r="F66" s="33"/>
      <c r="G66" s="33"/>
      <c r="H66" s="33"/>
      <c r="I66" s="33"/>
      <c r="J66" s="33"/>
      <c r="K66" s="33"/>
      <c r="L66" s="25" t="n">
        <v>0</v>
      </c>
      <c r="M66" s="25" t="n">
        <v>0</v>
      </c>
      <c r="N66" s="25" t="n">
        <v>0</v>
      </c>
      <c r="O66" s="25" t="n">
        <v>0</v>
      </c>
      <c r="P66" s="25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3"/>
      <c r="X66" s="29" t="n">
        <f aca="false">(L66+M66+N66+O66+P66+Q66+R66+S66+T66+U66)/COUNT(L66:U66)</f>
        <v>0</v>
      </c>
    </row>
    <row r="67" customFormat="false" ht="15.75" hidden="false" customHeight="false" outlineLevel="0" collapsed="false">
      <c r="A67" s="14" t="s">
        <v>86</v>
      </c>
      <c r="B67" s="3"/>
      <c r="C67" s="33" t="s">
        <v>88</v>
      </c>
      <c r="D67" s="33"/>
      <c r="E67" s="33"/>
      <c r="F67" s="33"/>
      <c r="G67" s="33"/>
      <c r="H67" s="33"/>
      <c r="I67" s="33"/>
      <c r="J67" s="33"/>
      <c r="K67" s="33"/>
      <c r="L67" s="25" t="n">
        <v>0</v>
      </c>
      <c r="M67" s="25" t="n">
        <v>0</v>
      </c>
      <c r="N67" s="25" t="n">
        <v>0</v>
      </c>
      <c r="O67" s="25" t="n">
        <v>0</v>
      </c>
      <c r="P67" s="25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3"/>
      <c r="X67" s="29" t="n">
        <f aca="false">(L67+M67+N67+O67+P67+Q67+R67+S67+T67+U67)/COUNT(L67:U67)</f>
        <v>0</v>
      </c>
    </row>
    <row r="68" customFormat="false" ht="15.75" hidden="false" customHeight="false" outlineLevel="0" collapsed="false">
      <c r="A68" s="14" t="s">
        <v>86</v>
      </c>
      <c r="B68" s="3"/>
      <c r="C68" s="33" t="s">
        <v>89</v>
      </c>
      <c r="D68" s="33"/>
      <c r="E68" s="33"/>
      <c r="F68" s="33"/>
      <c r="G68" s="33"/>
      <c r="H68" s="33"/>
      <c r="I68" s="33"/>
      <c r="J68" s="33"/>
      <c r="K68" s="33"/>
      <c r="L68" s="25" t="n">
        <v>0</v>
      </c>
      <c r="M68" s="25" t="n">
        <v>0</v>
      </c>
      <c r="N68" s="25" t="n">
        <v>0</v>
      </c>
      <c r="O68" s="25" t="n">
        <v>0</v>
      </c>
      <c r="P68" s="25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3"/>
      <c r="X68" s="29" t="n">
        <f aca="false">(L68+M68+N68+O68+P68+Q68+R68+S68+T68+U68)/COUNT(L68:U68)</f>
        <v>0</v>
      </c>
    </row>
    <row r="69" customFormat="false" ht="15.75" hidden="false" customHeight="false" outlineLevel="0" collapsed="false">
      <c r="A69" s="14" t="s">
        <v>75</v>
      </c>
      <c r="B69" s="3"/>
      <c r="C69" s="32" t="s">
        <v>90</v>
      </c>
      <c r="D69" s="32"/>
      <c r="E69" s="32"/>
      <c r="F69" s="32"/>
      <c r="G69" s="32"/>
      <c r="H69" s="33"/>
      <c r="I69" s="33"/>
      <c r="J69" s="33"/>
      <c r="K69" s="33"/>
      <c r="L69" s="25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3"/>
      <c r="X69" s="29" t="n">
        <f aca="false">(L69+M69+N69+O69+P69+Q69+R69+S69+T69+U69)/COUNT(L69:U69)</f>
        <v>0</v>
      </c>
    </row>
    <row r="70" customFormat="false" ht="15.75" hidden="false" customHeight="false" outlineLevel="0" collapsed="false">
      <c r="A70" s="14" t="s">
        <v>75</v>
      </c>
      <c r="B70" s="3"/>
      <c r="C70" s="32" t="s">
        <v>91</v>
      </c>
      <c r="D70" s="32"/>
      <c r="E70" s="32"/>
      <c r="F70" s="32"/>
      <c r="G70" s="32"/>
      <c r="H70" s="33"/>
      <c r="I70" s="33"/>
      <c r="J70" s="33"/>
      <c r="K70" s="33"/>
      <c r="L70" s="25" t="n">
        <v>500000</v>
      </c>
      <c r="M70" s="25" t="n">
        <v>0</v>
      </c>
      <c r="N70" s="25" t="n">
        <v>0</v>
      </c>
      <c r="O70" s="25" t="n">
        <v>0</v>
      </c>
      <c r="P70" s="25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3"/>
      <c r="X70" s="29" t="n">
        <f aca="false">(L70+M70+N70+O70+P70+Q70+R70+S70+T70+U70)/COUNT(L70:U70)</f>
        <v>50000</v>
      </c>
    </row>
    <row r="71" customFormat="false" ht="15.75" hidden="false" customHeight="false" outlineLevel="0" collapsed="false">
      <c r="A71" s="14" t="s">
        <v>7</v>
      </c>
      <c r="B71" s="3"/>
      <c r="C71" s="32" t="s">
        <v>92</v>
      </c>
      <c r="D71" s="32"/>
      <c r="E71" s="32"/>
      <c r="F71" s="32"/>
      <c r="G71" s="32"/>
      <c r="H71" s="33"/>
      <c r="I71" s="33"/>
      <c r="J71" s="33"/>
      <c r="K71" s="33"/>
      <c r="L71" s="25" t="n">
        <v>6244.36598023666</v>
      </c>
      <c r="M71" s="25" t="n">
        <v>0</v>
      </c>
      <c r="N71" s="25" t="n">
        <v>0</v>
      </c>
      <c r="O71" s="25" t="n">
        <v>0</v>
      </c>
      <c r="P71" s="25" t="n">
        <v>0</v>
      </c>
      <c r="Q71" s="34" t="n">
        <v>0</v>
      </c>
      <c r="R71" s="34" t="n">
        <v>0</v>
      </c>
      <c r="S71" s="34" t="n">
        <v>0</v>
      </c>
      <c r="T71" s="34" t="n">
        <v>0</v>
      </c>
      <c r="U71" s="34" t="n">
        <v>0</v>
      </c>
      <c r="V71" s="34" t="n">
        <v>0</v>
      </c>
      <c r="W71" s="3"/>
      <c r="X71" s="29" t="n">
        <f aca="false">(L71+M71+N71+O71+P71+Q71+R71+S71+T71+U71)/COUNT(L71:U71)</f>
        <v>624.436598023666</v>
      </c>
    </row>
    <row r="72" customFormat="false" ht="15.75" hidden="false" customHeight="false" outlineLevel="0" collapsed="false">
      <c r="A72" s="14" t="s">
        <v>75</v>
      </c>
      <c r="B72" s="3"/>
      <c r="C72" s="35" t="s">
        <v>93</v>
      </c>
      <c r="D72" s="35"/>
      <c r="E72" s="35"/>
      <c r="F72" s="35"/>
      <c r="G72" s="35"/>
      <c r="H72" s="36"/>
      <c r="I72" s="36"/>
      <c r="J72" s="36"/>
      <c r="K72" s="36"/>
      <c r="L72" s="37" t="n">
        <v>0</v>
      </c>
      <c r="M72" s="37" t="n">
        <v>0</v>
      </c>
      <c r="N72" s="37" t="n">
        <v>0</v>
      </c>
      <c r="O72" s="37" t="n">
        <v>0</v>
      </c>
      <c r="P72" s="37" t="n">
        <v>0</v>
      </c>
      <c r="Q72" s="38" t="n">
        <v>0</v>
      </c>
      <c r="R72" s="38" t="n">
        <v>0</v>
      </c>
      <c r="S72" s="38" t="n">
        <v>0</v>
      </c>
      <c r="T72" s="38" t="n">
        <v>0</v>
      </c>
      <c r="U72" s="38" t="n">
        <v>0</v>
      </c>
      <c r="V72" s="38" t="n">
        <v>0</v>
      </c>
      <c r="W72" s="3"/>
      <c r="X72" s="17"/>
    </row>
    <row r="73" customFormat="false" ht="15.75" hidden="false" customHeight="false" outlineLevel="0" collapsed="false">
      <c r="A73" s="14" t="s">
        <v>75</v>
      </c>
      <c r="B73" s="3"/>
      <c r="C73" s="39" t="s">
        <v>94</v>
      </c>
      <c r="D73" s="39"/>
      <c r="E73" s="39"/>
      <c r="F73" s="39"/>
      <c r="G73" s="39"/>
      <c r="H73" s="40"/>
      <c r="I73" s="40"/>
      <c r="J73" s="40"/>
      <c r="K73" s="40"/>
      <c r="L73" s="41" t="n">
        <v>0</v>
      </c>
      <c r="M73" s="41" t="n">
        <v>0</v>
      </c>
      <c r="N73" s="41" t="n">
        <v>0</v>
      </c>
      <c r="O73" s="41" t="n">
        <v>0</v>
      </c>
      <c r="P73" s="41" t="n">
        <v>0</v>
      </c>
      <c r="Q73" s="38" t="n">
        <v>0</v>
      </c>
      <c r="R73" s="38" t="n">
        <v>0</v>
      </c>
      <c r="S73" s="38" t="n">
        <v>0</v>
      </c>
      <c r="T73" s="38" t="n">
        <v>0</v>
      </c>
      <c r="U73" s="38" t="n">
        <v>0</v>
      </c>
      <c r="V73" s="38" t="n">
        <v>0</v>
      </c>
      <c r="W73" s="3"/>
      <c r="X73" s="17"/>
    </row>
    <row r="74" customFormat="false" ht="15.75" hidden="false" customHeight="false" outlineLevel="0" collapsed="false">
      <c r="A74" s="14" t="s">
        <v>7</v>
      </c>
      <c r="B74" s="3"/>
      <c r="C74" s="39" t="s">
        <v>95</v>
      </c>
      <c r="D74" s="39"/>
      <c r="E74" s="39"/>
      <c r="F74" s="39"/>
      <c r="G74" s="39"/>
      <c r="H74" s="40"/>
      <c r="I74" s="40"/>
      <c r="J74" s="40"/>
      <c r="K74" s="40"/>
      <c r="L74" s="41" t="n">
        <v>0</v>
      </c>
      <c r="M74" s="41" t="n">
        <v>0</v>
      </c>
      <c r="N74" s="41" t="n">
        <v>0</v>
      </c>
      <c r="O74" s="41" t="n">
        <v>0</v>
      </c>
      <c r="P74" s="41" t="n">
        <v>0</v>
      </c>
      <c r="Q74" s="38" t="n">
        <v>0</v>
      </c>
      <c r="R74" s="38" t="n">
        <v>0</v>
      </c>
      <c r="S74" s="38" t="n">
        <v>0</v>
      </c>
      <c r="T74" s="38" t="n">
        <v>0</v>
      </c>
      <c r="U74" s="38" t="n">
        <v>0</v>
      </c>
      <c r="V74" s="38" t="n">
        <v>0</v>
      </c>
      <c r="W74" s="3"/>
      <c r="X74" s="17"/>
    </row>
    <row r="75" customFormat="false" ht="15.75" hidden="false" customHeight="false" outlineLevel="0" collapsed="false">
      <c r="A75" s="14" t="s">
        <v>7</v>
      </c>
      <c r="B75" s="3"/>
      <c r="C75" s="39" t="s">
        <v>96</v>
      </c>
      <c r="D75" s="39"/>
      <c r="E75" s="39"/>
      <c r="F75" s="39"/>
      <c r="G75" s="39"/>
      <c r="H75" s="40"/>
      <c r="I75" s="40"/>
      <c r="J75" s="40"/>
      <c r="K75" s="40"/>
      <c r="L75" s="41" t="n">
        <v>0</v>
      </c>
      <c r="M75" s="41" t="n">
        <v>0</v>
      </c>
      <c r="N75" s="41" t="n">
        <v>0</v>
      </c>
      <c r="O75" s="41" t="n">
        <v>0</v>
      </c>
      <c r="P75" s="41" t="n">
        <v>0</v>
      </c>
      <c r="Q75" s="38" t="n">
        <v>0</v>
      </c>
      <c r="R75" s="38" t="n">
        <v>0</v>
      </c>
      <c r="S75" s="38" t="n">
        <v>0</v>
      </c>
      <c r="T75" s="38" t="n">
        <v>0</v>
      </c>
      <c r="U75" s="38" t="n">
        <v>0</v>
      </c>
      <c r="V75" s="38" t="n">
        <v>0</v>
      </c>
      <c r="W75" s="3"/>
      <c r="X75" s="42"/>
    </row>
    <row r="76" customFormat="false" ht="15.75" hidden="false" customHeight="false" outlineLevel="0" collapsed="false">
      <c r="A76" s="14"/>
      <c r="B76" s="3"/>
      <c r="C76" s="43"/>
      <c r="D76" s="44"/>
      <c r="E76" s="44"/>
      <c r="F76" s="44"/>
      <c r="G76" s="44"/>
      <c r="H76" s="45"/>
      <c r="I76" s="45"/>
      <c r="J76" s="45"/>
      <c r="K76" s="4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5.75" hidden="false" customHeight="false" outlineLevel="0" collapsed="false">
      <c r="A77" s="14" t="s">
        <v>75</v>
      </c>
      <c r="B77" s="3"/>
      <c r="C77" s="43" t="s">
        <v>97</v>
      </c>
      <c r="D77" s="45"/>
      <c r="E77" s="45"/>
      <c r="F77" s="45"/>
      <c r="G77" s="45"/>
      <c r="H77" s="45"/>
      <c r="I77" s="45"/>
      <c r="J77" s="45"/>
      <c r="K77" s="45"/>
      <c r="L77" s="46"/>
      <c r="M77" s="46"/>
      <c r="N77" s="46"/>
      <c r="O77" s="46"/>
      <c r="P77" s="46"/>
      <c r="Q77" s="3"/>
      <c r="R77" s="3"/>
      <c r="S77" s="3"/>
      <c r="T77" s="3"/>
      <c r="U77" s="3"/>
      <c r="V77" s="3"/>
      <c r="W77" s="3"/>
      <c r="X77" s="3"/>
    </row>
    <row r="78" customFormat="false" ht="15.75" hidden="false" customHeight="false" outlineLevel="0" collapsed="false">
      <c r="A78" s="14" t="s">
        <v>71</v>
      </c>
      <c r="B78" s="3"/>
      <c r="C78" s="47" t="s">
        <v>98</v>
      </c>
      <c r="D78" s="3"/>
      <c r="E78" s="3"/>
      <c r="F78" s="3"/>
      <c r="G78" s="3"/>
      <c r="H78" s="3"/>
      <c r="I78" s="3"/>
      <c r="J78" s="3"/>
      <c r="K78" s="3"/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/>
      <c r="X78" s="3"/>
    </row>
    <row r="79" customFormat="false" ht="15.75" hidden="false" customHeight="false" outlineLevel="0" collapsed="false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5.75" hidden="false" customHeight="false" outlineLevel="0" collapsed="false">
      <c r="A80" s="14" t="s">
        <v>7</v>
      </c>
      <c r="B80" s="3"/>
      <c r="C80" s="48" t="s">
        <v>99</v>
      </c>
      <c r="D80" s="3"/>
      <c r="E80" s="3"/>
      <c r="F80" s="3"/>
      <c r="G80" s="3"/>
      <c r="H80" s="3"/>
      <c r="I80" s="3"/>
      <c r="J80" s="3"/>
      <c r="K80" s="3"/>
      <c r="L80" s="49" t="n">
        <v>4.0836744</v>
      </c>
      <c r="M80" s="3" t="n">
        <v>3.5</v>
      </c>
      <c r="N80" s="3" t="n">
        <v>3</v>
      </c>
      <c r="O80" s="3" t="n">
        <v>4</v>
      </c>
      <c r="P80" s="3" t="n">
        <v>5</v>
      </c>
      <c r="Q80" s="3" t="n">
        <v>5</v>
      </c>
      <c r="R80" s="3" t="n">
        <v>5</v>
      </c>
      <c r="S80" s="3" t="n">
        <v>5</v>
      </c>
      <c r="T80" s="3" t="n">
        <v>5</v>
      </c>
      <c r="U80" s="3" t="n">
        <v>5</v>
      </c>
      <c r="V80" s="3" t="n">
        <v>5</v>
      </c>
      <c r="W80" s="3"/>
      <c r="X8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75" zoomScaleNormal="75" zoomScalePageLayoutView="100" workbookViewId="0">
      <selection pane="topLeft" activeCell="H31" activeCellId="0" sqref="H31"/>
    </sheetView>
  </sheetViews>
  <sheetFormatPr defaultRowHeight="15"/>
  <cols>
    <col collapsed="false" hidden="false" max="1" min="1" style="0" width="56.663967611336"/>
    <col collapsed="false" hidden="false" max="2" min="2" style="0" width="19.4939271255061"/>
    <col collapsed="false" hidden="false" max="5" min="3" style="50" width="8.89068825910931"/>
    <col collapsed="false" hidden="false" max="6" min="6" style="0" width="8.89068825910931"/>
    <col collapsed="false" hidden="false" max="7" min="7" style="0" width="11.0323886639676"/>
    <col collapsed="false" hidden="false" max="8" min="8" style="0" width="8.89068825910931"/>
    <col collapsed="false" hidden="false" max="18" min="9" style="0" width="11.5708502024291"/>
    <col collapsed="false" hidden="false" max="19" min="19" style="0" width="4.2834008097166"/>
    <col collapsed="false" hidden="false" max="1025" min="20" style="0" width="8.57085020242915"/>
  </cols>
  <sheetData>
    <row r="1" customFormat="false" ht="15" hidden="false" customHeight="false" outlineLevel="0" collapsed="false">
      <c r="B1" s="0" t="s">
        <v>100</v>
      </c>
      <c r="C1" s="50" t="n">
        <v>2012</v>
      </c>
      <c r="D1" s="50" t="n">
        <v>2013</v>
      </c>
      <c r="E1" s="50" t="n">
        <v>2014</v>
      </c>
      <c r="F1" s="50" t="n">
        <v>2015</v>
      </c>
      <c r="G1" s="50" t="n">
        <v>2016</v>
      </c>
      <c r="H1" s="50" t="n">
        <v>2017</v>
      </c>
      <c r="I1" s="50" t="n">
        <v>2018</v>
      </c>
      <c r="J1" s="50" t="n">
        <v>2019</v>
      </c>
      <c r="K1" s="50" t="n">
        <v>2020</v>
      </c>
      <c r="L1" s="50" t="n">
        <v>2021</v>
      </c>
      <c r="M1" s="50" t="n">
        <v>2022</v>
      </c>
      <c r="N1" s="50" t="n">
        <v>2023</v>
      </c>
      <c r="O1" s="50" t="n">
        <v>2024</v>
      </c>
      <c r="P1" s="50" t="n">
        <v>2025</v>
      </c>
      <c r="Q1" s="50" t="n">
        <v>2026</v>
      </c>
      <c r="R1" s="50" t="n">
        <v>2027</v>
      </c>
    </row>
    <row r="2" customFormat="false" ht="15" hidden="false" customHeight="false" outlineLevel="0" collapsed="false">
      <c r="A2" s="51" t="s">
        <v>101</v>
      </c>
      <c r="B2" s="51"/>
      <c r="C2" s="0"/>
      <c r="D2" s="0"/>
      <c r="E2" s="0"/>
      <c r="F2" s="50"/>
      <c r="G2" s="50"/>
      <c r="H2" s="50"/>
    </row>
    <row r="3" customFormat="false" ht="15" hidden="false" customHeight="false" outlineLevel="0" collapsed="false">
      <c r="A3" s="52" t="s">
        <v>102</v>
      </c>
      <c r="B3" s="52" t="s">
        <v>103</v>
      </c>
      <c r="C3" s="53" t="n">
        <v>14187</v>
      </c>
      <c r="D3" s="53" t="n">
        <v>14541</v>
      </c>
      <c r="E3" s="53" t="n">
        <v>15550</v>
      </c>
      <c r="F3" s="53" t="n">
        <v>14987</v>
      </c>
      <c r="G3" s="53" t="n">
        <v>15234</v>
      </c>
      <c r="H3" s="53" t="n">
        <v>15330</v>
      </c>
      <c r="I3" s="54" t="n">
        <f aca="false">H3*(1+Inputs!M14)</f>
        <v>15578.0985059617</v>
      </c>
      <c r="J3" s="54" t="n">
        <f aca="false">I3*(1+Inputs!N14)</f>
        <v>15830.2122023123</v>
      </c>
      <c r="K3" s="54" t="n">
        <f aca="false">J3*(1+Inputs!O14)</f>
        <v>16086.406070313</v>
      </c>
      <c r="L3" s="54" t="n">
        <f aca="false">K3*(1+Inputs!P14)</f>
        <v>16346.7461428726</v>
      </c>
      <c r="M3" s="54" t="n">
        <f aca="false">L3*(1+Inputs!Q14)</f>
        <v>16611.2995215668</v>
      </c>
      <c r="N3" s="54" t="n">
        <f aca="false">M3*(1+Inputs!R14)</f>
        <v>16880.1343939336</v>
      </c>
      <c r="O3" s="54" t="n">
        <f aca="false">N3*(1+Inputs!S14)</f>
        <v>17153.3200510483</v>
      </c>
      <c r="P3" s="54" t="n">
        <f aca="false">O3*(1+Inputs!T14)</f>
        <v>17430.9269053829</v>
      </c>
      <c r="Q3" s="54" t="n">
        <f aca="false">P3*(1+Inputs!U14)</f>
        <v>17713.0265089545</v>
      </c>
      <c r="R3" s="54" t="n">
        <f aca="false">Q3*(1+Inputs!V14)</f>
        <v>17999.6915717681</v>
      </c>
    </row>
    <row r="4" customFormat="false" ht="15" hidden="false" customHeight="false" outlineLevel="0" collapsed="false">
      <c r="A4" s="52" t="s">
        <v>104</v>
      </c>
      <c r="B4" s="52" t="s">
        <v>103</v>
      </c>
      <c r="C4" s="53" t="n">
        <v>1675</v>
      </c>
      <c r="D4" s="53" t="n">
        <v>1855</v>
      </c>
      <c r="E4" s="53" t="n">
        <v>2184</v>
      </c>
      <c r="F4" s="53" t="n">
        <v>1798</v>
      </c>
      <c r="G4" s="53" t="n">
        <v>1926</v>
      </c>
      <c r="H4" s="53" t="n">
        <v>2426</v>
      </c>
      <c r="I4" s="54" t="n">
        <f aca="false">H4*(1+Inputs!M15)</f>
        <v>2638.9430532151</v>
      </c>
      <c r="J4" s="54" t="n">
        <f aca="false">I4*(1+Inputs!N15)</f>
        <v>2870.57726220619</v>
      </c>
      <c r="K4" s="54" t="n">
        <f aca="false">J4*(1+Inputs!O15)</f>
        <v>3122.54325013036</v>
      </c>
      <c r="L4" s="54" t="n">
        <f aca="false">K4*(1+Inputs!P15)</f>
        <v>3396.6256464531</v>
      </c>
      <c r="M4" s="54" t="n">
        <f aca="false">L4*(1+Inputs!Q15)</f>
        <v>3694.76572715566</v>
      </c>
      <c r="N4" s="54" t="n">
        <f aca="false">M4*(1+Inputs!R15)</f>
        <v>4019.07516444133</v>
      </c>
      <c r="O4" s="54" t="n">
        <f aca="false">N4*(1+Inputs!S15)</f>
        <v>4371.8509833272</v>
      </c>
      <c r="P4" s="54" t="n">
        <f aca="false">O4*(1+Inputs!T15)</f>
        <v>4755.59183105644</v>
      </c>
      <c r="Q4" s="54" t="n">
        <f aca="false">P4*(1+Inputs!U15)</f>
        <v>5173.01567456424</v>
      </c>
      <c r="R4" s="54" t="n">
        <f aca="false">Q4*(1+Inputs!V15)</f>
        <v>5627.07905134548</v>
      </c>
    </row>
    <row r="5" customFormat="false" ht="15" hidden="false" customHeight="false" outlineLevel="0" collapsed="false">
      <c r="A5" s="52" t="s">
        <v>105</v>
      </c>
      <c r="B5" s="52" t="s">
        <v>106</v>
      </c>
      <c r="C5" s="53" t="n">
        <v>616</v>
      </c>
      <c r="D5" s="53" t="n">
        <v>639</v>
      </c>
      <c r="E5" s="53" t="n">
        <v>672</v>
      </c>
      <c r="F5" s="53" t="n">
        <v>657</v>
      </c>
      <c r="G5" s="53" t="n">
        <v>698</v>
      </c>
      <c r="H5" s="53" t="n">
        <v>681</v>
      </c>
      <c r="I5" s="54" t="n">
        <f aca="false">H5*(1+Inputs!M16)</f>
        <v>707.544528579878</v>
      </c>
      <c r="J5" s="54" t="n">
        <f aca="false">I5*(1+Inputs!N16)</f>
        <v>735.123729696507</v>
      </c>
      <c r="K5" s="54" t="n">
        <f aca="false">J5*(1+Inputs!O16)</f>
        <v>763.777933591772</v>
      </c>
      <c r="L5" s="54" t="n">
        <f aca="false">K5*(1+Inputs!P16)</f>
        <v>793.549042529961</v>
      </c>
      <c r="M5" s="54" t="n">
        <f aca="false">L5*(1+Inputs!Q16)</f>
        <v>824.480592073237</v>
      </c>
      <c r="N5" s="54" t="n">
        <f aca="false">M5*(1+Inputs!R16)</f>
        <v>856.617814745546</v>
      </c>
      <c r="O5" s="54" t="n">
        <f aca="false">N5*(1+Inputs!S16)</f>
        <v>890.007706178065</v>
      </c>
      <c r="P5" s="54" t="n">
        <f aca="false">O5*(1+Inputs!T16)</f>
        <v>924.699093832918</v>
      </c>
      <c r="Q5" s="54" t="n">
        <f aca="false">P5*(1+Inputs!U16)</f>
        <v>960.742708405657</v>
      </c>
      <c r="R5" s="54" t="n">
        <f aca="false">Q5*(1+Inputs!V16)</f>
        <v>998.191258010918</v>
      </c>
    </row>
    <row r="6" customFormat="false" ht="15" hidden="false" customHeight="false" outlineLevel="0" collapsed="false">
      <c r="A6" s="52" t="s">
        <v>107</v>
      </c>
      <c r="B6" s="52" t="s">
        <v>103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1596</v>
      </c>
      <c r="H6" s="53" t="n">
        <v>3791</v>
      </c>
      <c r="I6" s="54" t="n">
        <f aca="false">H6*(1+Inputs!M17)</f>
        <v>3791</v>
      </c>
      <c r="J6" s="54" t="n">
        <f aca="false">I6*(1+Inputs!N17)</f>
        <v>3791</v>
      </c>
      <c r="K6" s="54" t="n">
        <f aca="false">J6*(1+Inputs!O17)</f>
        <v>3791</v>
      </c>
      <c r="L6" s="54" t="n">
        <f aca="false">K6*(1+Inputs!P17)</f>
        <v>3791</v>
      </c>
      <c r="M6" s="54" t="n">
        <f aca="false">L6*(1+Inputs!Q17)</f>
        <v>3791</v>
      </c>
      <c r="N6" s="54" t="n">
        <f aca="false">M6*(1+Inputs!R17)</f>
        <v>3791</v>
      </c>
      <c r="O6" s="54" t="n">
        <f aca="false">N6*(1+Inputs!S17)</f>
        <v>3791</v>
      </c>
      <c r="P6" s="54" t="n">
        <f aca="false">O6*(1+Inputs!T17)</f>
        <v>3791</v>
      </c>
      <c r="Q6" s="54" t="n">
        <f aca="false">P6*(1+Inputs!U17)</f>
        <v>3791</v>
      </c>
      <c r="R6" s="54" t="n">
        <f aca="false">Q6*(1+Inputs!V17)</f>
        <v>3791</v>
      </c>
    </row>
    <row r="7" customFormat="false" ht="15" hidden="false" customHeight="false" outlineLevel="0" collapsed="false">
      <c r="A7" s="52" t="s">
        <v>108</v>
      </c>
      <c r="B7" s="52" t="s">
        <v>106</v>
      </c>
      <c r="C7" s="53" t="n">
        <v>59</v>
      </c>
      <c r="D7" s="53" t="n">
        <v>52</v>
      </c>
      <c r="E7" s="53" t="n">
        <v>61</v>
      </c>
      <c r="F7" s="53" t="n">
        <v>47</v>
      </c>
      <c r="G7" s="53" t="n">
        <v>442</v>
      </c>
      <c r="H7" s="53" t="n">
        <v>803</v>
      </c>
      <c r="I7" s="54" t="n">
        <f aca="false">H7*(1+Inputs!M18)</f>
        <v>812.898860361964</v>
      </c>
      <c r="J7" s="54" t="n">
        <f aca="false">I7*(1+Inputs!N18)</f>
        <v>822.919747419402</v>
      </c>
      <c r="K7" s="54" t="n">
        <f aca="false">J7*(1+Inputs!O18)</f>
        <v>833.064165437843</v>
      </c>
      <c r="L7" s="54" t="n">
        <f aca="false">K7*(1+Inputs!P18)</f>
        <v>843.333637226417</v>
      </c>
      <c r="M7" s="54" t="n">
        <f aca="false">L7*(1+Inputs!Q18)</f>
        <v>853.729704366457</v>
      </c>
      <c r="N7" s="54" t="n">
        <f aca="false">M7*(1+Inputs!R18)</f>
        <v>864.253927442901</v>
      </c>
      <c r="O7" s="54" t="n">
        <f aca="false">N7*(1+Inputs!S18)</f>
        <v>874.907886278562</v>
      </c>
      <c r="P7" s="54" t="n">
        <f aca="false">O7*(1+Inputs!T18)</f>
        <v>885.69318017128</v>
      </c>
      <c r="Q7" s="54" t="n">
        <f aca="false">P7*(1+Inputs!U18)</f>
        <v>896.611428133995</v>
      </c>
      <c r="R7" s="54" t="n">
        <f aca="false">Q7*(1+Inputs!V18)</f>
        <v>907.66426913778</v>
      </c>
    </row>
    <row r="8" customFormat="false" ht="15" hidden="false" customHeight="false" outlineLevel="0" collapsed="false">
      <c r="A8" s="55" t="s">
        <v>109</v>
      </c>
      <c r="B8" s="55" t="s">
        <v>110</v>
      </c>
      <c r="C8" s="56" t="n">
        <f aca="false">C3+C4+C5+C6+C7</f>
        <v>16537</v>
      </c>
      <c r="D8" s="56" t="n">
        <f aca="false">D3+D4+D5+D6+D7</f>
        <v>17087</v>
      </c>
      <c r="E8" s="56" t="n">
        <f aca="false">E3+E4+E5+E6+E7</f>
        <v>18467</v>
      </c>
      <c r="F8" s="56" t="n">
        <f aca="false">F3+F4+F5+F6+F7</f>
        <v>17489</v>
      </c>
      <c r="G8" s="56" t="n">
        <f aca="false">G3+G4+G5+G6+G7</f>
        <v>19896</v>
      </c>
      <c r="H8" s="56" t="n">
        <f aca="false">H3+H4+H5+H6+H7</f>
        <v>23031</v>
      </c>
      <c r="I8" s="56" t="n">
        <f aca="false">I3+I4+I5+I6+I7</f>
        <v>23528.4849481187</v>
      </c>
      <c r="J8" s="56" t="n">
        <f aca="false">J3+J4+J5+J6+J7</f>
        <v>24049.8329416344</v>
      </c>
      <c r="K8" s="56" t="n">
        <f aca="false">K3+K4+K5+K6+K7</f>
        <v>24596.791419473</v>
      </c>
      <c r="L8" s="56" t="n">
        <f aca="false">L3+L4+L5+L6+L7</f>
        <v>25171.254469082</v>
      </c>
      <c r="M8" s="56" t="n">
        <f aca="false">M3+M4+M5+M6+M7</f>
        <v>25775.2755451621</v>
      </c>
      <c r="N8" s="56" t="n">
        <f aca="false">N3+N4+N5+N6+N7</f>
        <v>26411.0813005634</v>
      </c>
      <c r="O8" s="56" t="n">
        <f aca="false">O3+O4+O5+O6+O7</f>
        <v>27081.0866268321</v>
      </c>
      <c r="P8" s="56" t="n">
        <f aca="false">P3+P4+P5+P6+P7</f>
        <v>27787.9110104435</v>
      </c>
      <c r="Q8" s="56" t="n">
        <f aca="false">Q3+Q4+Q5+Q6+Q7</f>
        <v>28534.3963200584</v>
      </c>
      <c r="R8" s="56" t="n">
        <f aca="false">R3+R4+R5+R6+R7</f>
        <v>29323.6261502623</v>
      </c>
    </row>
    <row r="9" customFormat="false" ht="15" hidden="false" customHeight="false" outlineLevel="0" collapsed="false">
      <c r="A9" s="51" t="s">
        <v>111</v>
      </c>
      <c r="B9" s="51"/>
      <c r="C9" s="0"/>
      <c r="D9" s="0"/>
      <c r="E9" s="0"/>
      <c r="F9" s="53"/>
      <c r="G9" s="53"/>
      <c r="H9" s="53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customFormat="false" ht="15" hidden="false" customHeight="false" outlineLevel="0" collapsed="false">
      <c r="A10" s="52" t="s">
        <v>30</v>
      </c>
      <c r="B10" s="52" t="s">
        <v>106</v>
      </c>
      <c r="C10" s="57" t="n">
        <v>5057</v>
      </c>
      <c r="D10" s="57" t="n">
        <v>5510</v>
      </c>
      <c r="E10" s="57" t="n">
        <v>6005</v>
      </c>
      <c r="F10" s="53" t="n">
        <v>4750</v>
      </c>
      <c r="G10" s="53" t="n">
        <v>4361</v>
      </c>
      <c r="H10" s="53" t="n">
        <v>4400</v>
      </c>
      <c r="I10" s="54" t="n">
        <f aca="false">(I$3+I$4+I$5)*Inputs!M20</f>
        <v>4763.86064995731</v>
      </c>
      <c r="J10" s="54" t="n">
        <f aca="false">(J$3+J$4+J$5)*Inputs!N20</f>
        <v>4892.57633601868</v>
      </c>
      <c r="K10" s="54" t="n">
        <f aca="false">(K$3+K$4+K$5)*Inputs!O20</f>
        <v>5027.70781863406</v>
      </c>
      <c r="L10" s="54" t="n">
        <f aca="false">(L$3+L$4+L$5)*Inputs!P20</f>
        <v>5169.73151055917</v>
      </c>
      <c r="M10" s="54" t="n">
        <f aca="false">(M$3+M$4+M$5)*Inputs!Q20</f>
        <v>5319.16393712884</v>
      </c>
      <c r="N10" s="54" t="n">
        <f aca="false">(N$3+N$4+N$5)*Inputs!R20</f>
        <v>5476.56521783185</v>
      </c>
      <c r="O10" s="54" t="n">
        <f aca="false">(O$3+O$4+O$5)*Inputs!S20</f>
        <v>5642.54285238852</v>
      </c>
      <c r="P10" s="54" t="n">
        <f aca="false">(P$3+P$4+P$5)*Inputs!T20</f>
        <v>5817.75583802353</v>
      </c>
      <c r="Q10" s="54" t="n">
        <f aca="false">(Q$3+Q$4+Q$5)*Inputs!U20</f>
        <v>6002.9191469678</v>
      </c>
      <c r="R10" s="54" t="n">
        <f aca="false">(R$3+R$4+R$5)*Inputs!V20</f>
        <v>6198.80859577064</v>
      </c>
    </row>
    <row r="11" customFormat="false" ht="15" hidden="false" customHeight="false" outlineLevel="0" collapsed="false">
      <c r="A11" s="52" t="s">
        <v>32</v>
      </c>
      <c r="B11" s="52" t="s">
        <v>106</v>
      </c>
      <c r="C11" s="57" t="n">
        <v>544</v>
      </c>
      <c r="D11" s="57" t="n">
        <v>461</v>
      </c>
      <c r="E11" s="57" t="n">
        <v>672</v>
      </c>
      <c r="F11" s="53" t="n">
        <v>645</v>
      </c>
      <c r="G11" s="53" t="n">
        <v>750</v>
      </c>
      <c r="H11" s="53" t="n">
        <v>863</v>
      </c>
      <c r="I11" s="54" t="n">
        <f aca="false">(I$3+I$4+I$5)*Inputs!M21</f>
        <v>793.481004658293</v>
      </c>
      <c r="J11" s="54" t="n">
        <f aca="false">(J$3+J$4+J$5)*Inputs!N21</f>
        <v>814.920223685863</v>
      </c>
      <c r="K11" s="54" t="n">
        <f aca="false">(K$3+K$4+K$5)*Inputs!O21</f>
        <v>837.428074453407</v>
      </c>
      <c r="L11" s="54" t="n">
        <f aca="false">(L$3+L$4+L$5)*Inputs!P21</f>
        <v>861.083909507068</v>
      </c>
      <c r="M11" s="54" t="n">
        <f aca="false">(M$3+M$4+M$5)*Inputs!Q21</f>
        <v>885.973762648363</v>
      </c>
      <c r="N11" s="54" t="n">
        <f aca="false">(N$3+N$4+N$5)*Inputs!R21</f>
        <v>912.19092883433</v>
      </c>
      <c r="O11" s="54" t="n">
        <f aca="false">(O$3+O$4+O$5)*Inputs!S21</f>
        <v>939.836594796456</v>
      </c>
      <c r="P11" s="54" t="n">
        <f aca="false">(P$3+P$4+P$5)*Inputs!T21</f>
        <v>969.02052482432</v>
      </c>
      <c r="Q11" s="54" t="n">
        <f aca="false">(Q$3+Q$4+Q$5)*Inputs!U21</f>
        <v>999.861806549946</v>
      </c>
      <c r="R11" s="54" t="n">
        <f aca="false">(R$3+R$4+R$5)*Inputs!V21</f>
        <v>1032.48966199308</v>
      </c>
    </row>
    <row r="12" customFormat="false" ht="15" hidden="false" customHeight="false" outlineLevel="0" collapsed="false">
      <c r="A12" s="52" t="s">
        <v>34</v>
      </c>
      <c r="B12" s="52" t="s">
        <v>106</v>
      </c>
      <c r="C12" s="57" t="n">
        <v>0</v>
      </c>
      <c r="D12" s="57" t="n">
        <v>0</v>
      </c>
      <c r="E12" s="57" t="n">
        <v>0</v>
      </c>
      <c r="F12" s="53" t="n">
        <v>0</v>
      </c>
      <c r="G12" s="53" t="n">
        <v>613</v>
      </c>
      <c r="H12" s="53" t="n">
        <v>1601</v>
      </c>
      <c r="I12" s="54" t="n">
        <f aca="false">I6*Inputs!M22</f>
        <v>1528.53352130326</v>
      </c>
      <c r="J12" s="54" t="n">
        <f aca="false">J6*Inputs!N22</f>
        <v>1528.53352130326</v>
      </c>
      <c r="K12" s="54" t="n">
        <f aca="false">K6*Inputs!O22</f>
        <v>1528.53352130326</v>
      </c>
      <c r="L12" s="54" t="n">
        <f aca="false">L6*Inputs!P22</f>
        <v>1528.53352130326</v>
      </c>
      <c r="M12" s="54" t="n">
        <f aca="false">M6*Inputs!Q22</f>
        <v>1528.53352130326</v>
      </c>
      <c r="N12" s="54" t="n">
        <f aca="false">N6*Inputs!R22</f>
        <v>1528.53352130326</v>
      </c>
      <c r="O12" s="54" t="n">
        <f aca="false">O6*Inputs!S22</f>
        <v>1528.53352130326</v>
      </c>
      <c r="P12" s="54" t="n">
        <f aca="false">P6*Inputs!T22</f>
        <v>1528.53352130326</v>
      </c>
      <c r="Q12" s="54" t="n">
        <f aca="false">Q6*Inputs!U22</f>
        <v>1528.53352130326</v>
      </c>
      <c r="R12" s="54" t="n">
        <f aca="false">R6*Inputs!V22</f>
        <v>1528.53352130326</v>
      </c>
    </row>
    <row r="13" customFormat="false" ht="15" hidden="false" customHeight="false" outlineLevel="0" collapsed="false">
      <c r="A13" s="52" t="s">
        <v>36</v>
      </c>
      <c r="B13" s="52" t="s">
        <v>106</v>
      </c>
      <c r="C13" s="57" t="n">
        <v>0</v>
      </c>
      <c r="D13" s="57" t="n">
        <v>0</v>
      </c>
      <c r="E13" s="57" t="n">
        <v>0</v>
      </c>
      <c r="F13" s="53" t="n">
        <v>0</v>
      </c>
      <c r="G13" s="53" t="n">
        <v>260</v>
      </c>
      <c r="H13" s="53" t="n">
        <v>513</v>
      </c>
      <c r="I13" s="54" t="n">
        <f aca="false">I7*Inputs!M23</f>
        <v>498.749864842256</v>
      </c>
      <c r="J13" s="54" t="n">
        <f aca="false">J7*Inputs!N23</f>
        <v>504.898127940166</v>
      </c>
      <c r="K13" s="54" t="n">
        <f aca="false">K7*Inputs!O23</f>
        <v>511.122182816252</v>
      </c>
      <c r="L13" s="54" t="n">
        <f aca="false">L7*Inputs!P23</f>
        <v>517.42296378213</v>
      </c>
      <c r="M13" s="54" t="n">
        <f aca="false">M7*Inputs!Q23</f>
        <v>523.801416667003</v>
      </c>
      <c r="N13" s="54" t="n">
        <f aca="false">N7*Inputs!R23</f>
        <v>530.258498959638</v>
      </c>
      <c r="O13" s="54" t="n">
        <f aca="false">O7*Inputs!S23</f>
        <v>536.795179952099</v>
      </c>
      <c r="P13" s="54" t="n">
        <f aca="false">P7*Inputs!T23</f>
        <v>543.412440885251</v>
      </c>
      <c r="Q13" s="54" t="n">
        <f aca="false">Q7*Inputs!U23</f>
        <v>550.111275096057</v>
      </c>
      <c r="R13" s="54" t="n">
        <f aca="false">R7*Inputs!V23</f>
        <v>556.892688166689</v>
      </c>
    </row>
    <row r="14" customFormat="false" ht="15" hidden="false" customHeight="false" outlineLevel="0" collapsed="false">
      <c r="A14" s="52" t="s">
        <v>112</v>
      </c>
      <c r="B14" s="52" t="s">
        <v>103</v>
      </c>
      <c r="C14" s="57" t="n">
        <v>3772</v>
      </c>
      <c r="D14" s="57" t="n">
        <v>3846</v>
      </c>
      <c r="E14" s="57" t="n">
        <v>4354</v>
      </c>
      <c r="F14" s="53" t="n">
        <v>4416</v>
      </c>
      <c r="G14" s="53" t="n">
        <v>5240</v>
      </c>
      <c r="H14" s="53" t="n">
        <v>5481</v>
      </c>
      <c r="I14" s="54" t="n">
        <f aca="false">H14*(1+Inputs!M24)</f>
        <v>5771.40485044355</v>
      </c>
      <c r="J14" s="54" t="n">
        <f aca="false">I14*(1+Inputs!N24)</f>
        <v>6077.1964874518</v>
      </c>
      <c r="K14" s="54" t="n">
        <f aca="false">J14*(1+Inputs!O24)</f>
        <v>6399.19016325083</v>
      </c>
      <c r="L14" s="54" t="n">
        <f aca="false">K14*(1+Inputs!P24)</f>
        <v>6738.24432532321</v>
      </c>
      <c r="M14" s="54" t="n">
        <f aca="false">L14*(1+Inputs!Q24)</f>
        <v>7095.26290506187</v>
      </c>
      <c r="N14" s="54" t="n">
        <f aca="false">M14*(1+Inputs!R24)</f>
        <v>7471.19772768587</v>
      </c>
      <c r="O14" s="54" t="n">
        <f aca="false">N14*(1+Inputs!S24)</f>
        <v>7867.05104984292</v>
      </c>
      <c r="P14" s="54" t="n">
        <f aca="false">O14*(1+Inputs!T24)</f>
        <v>8283.87823166401</v>
      </c>
      <c r="Q14" s="54" t="n">
        <f aca="false">P14*(1+Inputs!U24)</f>
        <v>8722.79055039397</v>
      </c>
      <c r="R14" s="54" t="n">
        <f aca="false">Q14*(1+Inputs!V24)</f>
        <v>9184.95816309924</v>
      </c>
    </row>
    <row r="15" customFormat="false" ht="15" hidden="false" customHeight="false" outlineLevel="0" collapsed="false">
      <c r="A15" s="58" t="s">
        <v>113</v>
      </c>
      <c r="B15" s="59" t="s">
        <v>110</v>
      </c>
      <c r="C15" s="56" t="n">
        <f aca="false">C8-C10-C11-C12-C13-C14</f>
        <v>7164</v>
      </c>
      <c r="D15" s="56" t="n">
        <f aca="false">D8-D10-D11-D12-D13-D14</f>
        <v>7270</v>
      </c>
      <c r="E15" s="56" t="n">
        <f aca="false">E8-E10-E11-E12-E13-E14</f>
        <v>7436</v>
      </c>
      <c r="F15" s="56" t="n">
        <f aca="false">F8-F10-F11-F12-F13-F14</f>
        <v>7678</v>
      </c>
      <c r="G15" s="56" t="n">
        <f aca="false">G8-G10-G11-G12-G13-G14</f>
        <v>8672</v>
      </c>
      <c r="H15" s="56" t="n">
        <f aca="false">H8-H10-H11-H12-H13-H14</f>
        <v>10173</v>
      </c>
      <c r="I15" s="56" t="n">
        <f aca="false">I8-I10-I11-I12-I13-I14</f>
        <v>10172.455056914</v>
      </c>
      <c r="J15" s="56" t="n">
        <f aca="false">J8-J10-J11-J12-J13-J14</f>
        <v>10231.7082452346</v>
      </c>
      <c r="K15" s="56" t="n">
        <f aca="false">K8-K10-K11-K12-K13-K14</f>
        <v>10292.8096590151</v>
      </c>
      <c r="L15" s="56" t="n">
        <f aca="false">L8-L10-L11-L12-L13-L14</f>
        <v>10356.2382386072</v>
      </c>
      <c r="M15" s="56" t="n">
        <f aca="false">M8-M10-M11-M12-M13-M14</f>
        <v>10422.5400023528</v>
      </c>
      <c r="N15" s="56" t="n">
        <f aca="false">N8-N10-N11-N12-N13-N14</f>
        <v>10492.3354059485</v>
      </c>
      <c r="O15" s="56" t="n">
        <f aca="false">O8-O10-O11-O12-O13-O14</f>
        <v>10566.3274285489</v>
      </c>
      <c r="P15" s="56" t="n">
        <f aca="false">P8-P10-P11-P12-P13-P14</f>
        <v>10645.3104537431</v>
      </c>
      <c r="Q15" s="56" t="n">
        <f aca="false">Q8-Q10-Q11-Q12-Q13-Q14</f>
        <v>10730.1800197474</v>
      </c>
      <c r="R15" s="56" t="n">
        <f aca="false">R8-R10-R11-R12-R13-R14</f>
        <v>10821.9435199294</v>
      </c>
    </row>
    <row r="16" customFormat="false" ht="15" hidden="false" customHeight="false" outlineLevel="0" collapsed="false">
      <c r="A16" s="52" t="s">
        <v>114</v>
      </c>
      <c r="B16" s="52" t="s">
        <v>115</v>
      </c>
      <c r="C16" s="57" t="n">
        <v>1787</v>
      </c>
      <c r="D16" s="57" t="n">
        <v>1901</v>
      </c>
      <c r="E16" s="57" t="n">
        <v>1945</v>
      </c>
      <c r="F16" s="53" t="n">
        <v>2034</v>
      </c>
      <c r="G16" s="53" t="n">
        <v>2502</v>
      </c>
      <c r="H16" s="53" t="n">
        <v>3010</v>
      </c>
      <c r="I16" s="54" t="n">
        <f aca="false">'Balance Sheet'!H22*Inputs!M25</f>
        <v>3375.52526998171</v>
      </c>
      <c r="J16" s="54" t="n">
        <f aca="false">'Balance Sheet'!I22*Inputs!N25</f>
        <v>3568.99302853526</v>
      </c>
      <c r="K16" s="54" t="n">
        <f aca="false">'Balance Sheet'!J22*Inputs!O25</f>
        <v>3773.54936460076</v>
      </c>
      <c r="L16" s="54" t="n">
        <f aca="false">'Balance Sheet'!K22*Inputs!P25</f>
        <v>3989.82981844682</v>
      </c>
      <c r="M16" s="54" t="n">
        <f aca="false">'Balance Sheet'!L22*Inputs!Q25</f>
        <v>4218.50635624362</v>
      </c>
      <c r="N16" s="54" t="n">
        <f aca="false">'Balance Sheet'!M22*Inputs!R25</f>
        <v>4460.28945780837</v>
      </c>
      <c r="O16" s="54" t="n">
        <f aca="false">'Balance Sheet'!N22*Inputs!S25</f>
        <v>4715.93032400958</v>
      </c>
      <c r="P16" s="54" t="n">
        <f aca="false">'Balance Sheet'!O22*Inputs!T25</f>
        <v>4986.22321068846</v>
      </c>
      <c r="Q16" s="54" t="n">
        <f aca="false">'Balance Sheet'!P22*Inputs!U25</f>
        <v>5272.0078963486</v>
      </c>
      <c r="R16" s="54" t="n">
        <f aca="false">'Balance Sheet'!Q22*Inputs!V25</f>
        <v>5574.17229128104</v>
      </c>
    </row>
    <row r="17" customFormat="false" ht="15" hidden="false" customHeight="false" outlineLevel="0" collapsed="false">
      <c r="A17" s="52" t="s">
        <v>41</v>
      </c>
      <c r="B17" s="52" t="s">
        <v>106</v>
      </c>
      <c r="C17" s="57" t="n">
        <v>914</v>
      </c>
      <c r="D17" s="57" t="n">
        <v>934</v>
      </c>
      <c r="E17" s="57" t="n">
        <v>981</v>
      </c>
      <c r="F17" s="53" t="n">
        <v>997</v>
      </c>
      <c r="G17" s="53" t="n">
        <v>1113</v>
      </c>
      <c r="H17" s="53" t="n">
        <v>1250</v>
      </c>
      <c r="I17" s="54" t="n">
        <f aca="false">I15*Inputs!M26</f>
        <v>1303.85645297687</v>
      </c>
      <c r="J17" s="54" t="n">
        <f aca="false">J15*Inputs!N26</f>
        <v>1311.45124219137</v>
      </c>
      <c r="K17" s="54" t="n">
        <f aca="false">K15*Inputs!O26</f>
        <v>1319.28292807231</v>
      </c>
      <c r="L17" s="54" t="n">
        <f aca="false">L15*Inputs!P26</f>
        <v>1327.41289889465</v>
      </c>
      <c r="M17" s="54" t="n">
        <f aca="false">M15*Inputs!Q26</f>
        <v>1335.91114066813</v>
      </c>
      <c r="N17" s="54" t="n">
        <f aca="false">N15*Inputs!R26</f>
        <v>1344.85718042521</v>
      </c>
      <c r="O17" s="54" t="n">
        <f aca="false">O15*Inputs!S26</f>
        <v>1354.34112265908</v>
      </c>
      <c r="P17" s="54" t="n">
        <f aca="false">P15*Inputs!T26</f>
        <v>1364.46478764447</v>
      </c>
      <c r="Q17" s="54" t="n">
        <f aca="false">Q15*Inputs!U26</f>
        <v>1375.34296117061</v>
      </c>
      <c r="R17" s="54" t="n">
        <f aca="false">R15*Inputs!V26</f>
        <v>1387.10476608306</v>
      </c>
    </row>
    <row r="18" customFormat="false" ht="15" hidden="false" customHeight="false" outlineLevel="0" collapsed="false">
      <c r="A18" s="52" t="s">
        <v>116</v>
      </c>
      <c r="B18" s="52" t="s">
        <v>103</v>
      </c>
      <c r="C18" s="57" t="n">
        <v>0</v>
      </c>
      <c r="D18" s="57" t="n">
        <v>1180</v>
      </c>
      <c r="E18" s="57" t="n">
        <v>868</v>
      </c>
      <c r="F18" s="53" t="n">
        <v>365</v>
      </c>
      <c r="G18" s="53" t="n">
        <v>428</v>
      </c>
      <c r="H18" s="53" t="n">
        <v>3362</v>
      </c>
      <c r="I18" s="54" t="n">
        <v>200</v>
      </c>
      <c r="J18" s="54" t="n">
        <v>200</v>
      </c>
      <c r="K18" s="54" t="n">
        <v>200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</row>
    <row r="19" customFormat="false" ht="15" hidden="false" customHeight="false" outlineLevel="0" collapsed="false">
      <c r="A19" s="55" t="s">
        <v>117</v>
      </c>
      <c r="B19" s="55" t="s">
        <v>110</v>
      </c>
      <c r="C19" s="56" t="n">
        <f aca="false">C10+C11+C12+C13+C14+C16+C17+C18</f>
        <v>12074</v>
      </c>
      <c r="D19" s="56" t="n">
        <f aca="false">D10+D11+D12+D13+D14+D16+D17+D18</f>
        <v>13832</v>
      </c>
      <c r="E19" s="56" t="n">
        <f aca="false">E10+E11+E12+E13+E14+E16+E17+E18</f>
        <v>14825</v>
      </c>
      <c r="F19" s="56" t="n">
        <f aca="false">F10+F11+F12+F13+F14+F16+F17+F18</f>
        <v>13207</v>
      </c>
      <c r="G19" s="56" t="n">
        <f aca="false">G10+G11+G12+G13+G14+G16+G17+G18</f>
        <v>15267</v>
      </c>
      <c r="H19" s="56" t="n">
        <f aca="false">H10+H11+H12+H13+H14+H16+H17+H18</f>
        <v>20480</v>
      </c>
      <c r="I19" s="56" t="n">
        <f aca="false">I10+I11+I12+I13+I14+I16+I17+I18</f>
        <v>18235.4116141632</v>
      </c>
      <c r="J19" s="56" t="n">
        <f aca="false">J10+J11+J12+J13+J14+J16+J17+J18</f>
        <v>18898.5689671264</v>
      </c>
      <c r="K19" s="56" t="n">
        <f aca="false">K10+K11+K12+K13+K14+K16+K17+K18</f>
        <v>19596.8140531309</v>
      </c>
      <c r="L19" s="56" t="n">
        <f aca="false">L10+L11+L12+L13+L14+L16+L17+L18</f>
        <v>20132.2589478163</v>
      </c>
      <c r="M19" s="56" t="n">
        <f aca="false">M10+M11+M12+M13+M14+M16+M17+M18</f>
        <v>20907.1530397211</v>
      </c>
      <c r="N19" s="56" t="n">
        <f aca="false">N10+N11+N12+N13+N14+N16+N17+N18</f>
        <v>21723.8925328485</v>
      </c>
      <c r="O19" s="56" t="n">
        <f aca="false">O10+O11+O12+O13+O14+O16+O17+O18</f>
        <v>22585.0306449519</v>
      </c>
      <c r="P19" s="56" t="n">
        <f aca="false">P10+P11+P12+P13+P14+P16+P17+P18</f>
        <v>23493.2885550333</v>
      </c>
      <c r="Q19" s="56" t="n">
        <f aca="false">Q10+Q11+Q12+Q13+Q14+Q16+Q17+Q18</f>
        <v>24451.5671578303</v>
      </c>
      <c r="R19" s="56" t="n">
        <f aca="false">R10+R11+R12+R13+R14+R16+R17+R18</f>
        <v>25462.959687697</v>
      </c>
    </row>
    <row r="20" customFormat="false" ht="15" hidden="false" customHeight="false" outlineLevel="0" collapsed="false">
      <c r="A20" s="51" t="s">
        <v>118</v>
      </c>
      <c r="B20" s="60" t="s">
        <v>110</v>
      </c>
      <c r="C20" s="53" t="n">
        <f aca="false">C8-C19</f>
        <v>4463</v>
      </c>
      <c r="D20" s="53" t="n">
        <f aca="false">D8-D19</f>
        <v>3255</v>
      </c>
      <c r="E20" s="53" t="n">
        <f aca="false">E8-E19</f>
        <v>3642</v>
      </c>
      <c r="F20" s="53" t="n">
        <f aca="false">F8-F19</f>
        <v>4282</v>
      </c>
      <c r="G20" s="53" t="n">
        <f aca="false">G8-G19</f>
        <v>4629</v>
      </c>
      <c r="H20" s="53" t="n">
        <f aca="false">H8-H19</f>
        <v>2551</v>
      </c>
      <c r="I20" s="53" t="n">
        <f aca="false">I8-I19</f>
        <v>5293.07333395544</v>
      </c>
      <c r="J20" s="53" t="n">
        <f aca="false">J8-J19</f>
        <v>5151.26397450798</v>
      </c>
      <c r="K20" s="53" t="n">
        <f aca="false">K8-K19</f>
        <v>4999.97736634207</v>
      </c>
      <c r="L20" s="53" t="n">
        <f aca="false">L8-L19</f>
        <v>5038.99552126574</v>
      </c>
      <c r="M20" s="53" t="n">
        <f aca="false">M8-M19</f>
        <v>4868.12250544107</v>
      </c>
      <c r="N20" s="53" t="n">
        <f aca="false">N8-N19</f>
        <v>4687.18876771489</v>
      </c>
      <c r="O20" s="53" t="n">
        <f aca="false">O8-O19</f>
        <v>4496.05598188024</v>
      </c>
      <c r="P20" s="53" t="n">
        <f aca="false">P8-P19</f>
        <v>4294.6224554102</v>
      </c>
      <c r="Q20" s="53" t="n">
        <f aca="false">Q8-Q19</f>
        <v>4082.82916222818</v>
      </c>
      <c r="R20" s="53" t="n">
        <f aca="false">R8-R19</f>
        <v>3860.66646256529</v>
      </c>
    </row>
    <row r="21" customFormat="false" ht="15" hidden="false" customHeight="false" outlineLevel="0" collapsed="false">
      <c r="A21" s="51"/>
      <c r="B21" s="51"/>
      <c r="C21" s="0"/>
      <c r="D21" s="0"/>
      <c r="E21" s="0"/>
      <c r="F21" s="53"/>
      <c r="G21" s="53"/>
      <c r="H21" s="53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2" customFormat="false" ht="15" hidden="false" customHeight="false" outlineLevel="0" collapsed="false">
      <c r="A22" s="51" t="s">
        <v>119</v>
      </c>
      <c r="B22" s="51"/>
      <c r="C22" s="0"/>
      <c r="D22" s="0"/>
      <c r="E22" s="0"/>
      <c r="F22" s="53"/>
      <c r="G22" s="53"/>
      <c r="H22" s="53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customFormat="false" ht="15" hidden="false" customHeight="false" outlineLevel="0" collapsed="false">
      <c r="A23" s="52" t="s">
        <v>120</v>
      </c>
      <c r="B23" s="52" t="s">
        <v>115</v>
      </c>
      <c r="C23" s="53" t="n">
        <v>143</v>
      </c>
      <c r="D23" s="53" t="n">
        <v>190</v>
      </c>
      <c r="E23" s="53" t="n">
        <v>245</v>
      </c>
      <c r="F23" s="53" t="n">
        <v>226</v>
      </c>
      <c r="G23" s="53" t="n">
        <v>202</v>
      </c>
      <c r="H23" s="53" t="n">
        <v>160</v>
      </c>
      <c r="I23" s="54"/>
      <c r="J23" s="61"/>
      <c r="K23" s="61"/>
      <c r="L23" s="61"/>
      <c r="M23" s="61"/>
      <c r="N23" s="61"/>
      <c r="O23" s="61"/>
      <c r="P23" s="54"/>
      <c r="Q23" s="54"/>
      <c r="R23" s="54"/>
    </row>
    <row r="24" customFormat="false" ht="15" hidden="false" customHeight="false" outlineLevel="0" collapsed="false">
      <c r="A24" s="52" t="s">
        <v>44</v>
      </c>
      <c r="B24" s="52" t="s">
        <v>106</v>
      </c>
      <c r="C24" s="53" t="n">
        <v>40</v>
      </c>
      <c r="D24" s="53" t="n">
        <v>19</v>
      </c>
      <c r="E24" s="53" t="n">
        <v>19</v>
      </c>
      <c r="F24" s="53" t="n">
        <v>0</v>
      </c>
      <c r="G24" s="53" t="n">
        <v>59</v>
      </c>
      <c r="H24" s="53" t="n">
        <v>106</v>
      </c>
      <c r="I24" s="54" t="n">
        <f aca="false">I8*Inputs!M28</f>
        <v>47.5571448533124</v>
      </c>
      <c r="J24" s="54" t="n">
        <f aca="false">J8*Inputs!N28</f>
        <v>48.6109237983351</v>
      </c>
      <c r="K24" s="54" t="n">
        <f aca="false">K8*Inputs!O28</f>
        <v>49.7164681466718</v>
      </c>
      <c r="L24" s="54" t="n">
        <f aca="false">L8*Inputs!P28</f>
        <v>50.8776063382458</v>
      </c>
      <c r="M24" s="54" t="n">
        <f aca="false">M8*Inputs!Q28</f>
        <v>52.0984889353588</v>
      </c>
      <c r="N24" s="54" t="n">
        <f aca="false">N8*Inputs!R28</f>
        <v>53.3836165785055</v>
      </c>
      <c r="O24" s="54" t="n">
        <f aca="false">O8*Inputs!S28</f>
        <v>54.7378703872022</v>
      </c>
      <c r="P24" s="54" t="n">
        <f aca="false">P8*Inputs!T28</f>
        <v>56.166545020158</v>
      </c>
      <c r="Q24" s="54" t="n">
        <f aca="false">Q8*Inputs!U28</f>
        <v>57.6753846279146</v>
      </c>
      <c r="R24" s="54" t="n">
        <f aca="false">R8*Inputs!V28</f>
        <v>59.2706219515384</v>
      </c>
    </row>
    <row r="25" customFormat="false" ht="15" hidden="false" customHeight="false" outlineLevel="0" collapsed="false">
      <c r="A25" s="52" t="s">
        <v>121</v>
      </c>
      <c r="B25" s="52" t="s">
        <v>115</v>
      </c>
      <c r="C25" s="53" t="n">
        <v>-859</v>
      </c>
      <c r="D25" s="53" t="n">
        <v>-824</v>
      </c>
      <c r="E25" s="53" t="n">
        <v>-835</v>
      </c>
      <c r="F25" s="53" t="n">
        <v>-840</v>
      </c>
      <c r="G25" s="53" t="n">
        <v>-1317</v>
      </c>
      <c r="H25" s="53" t="n">
        <v>-1694</v>
      </c>
      <c r="I25" s="54"/>
      <c r="J25" s="61"/>
      <c r="K25" s="61"/>
      <c r="L25" s="61"/>
      <c r="M25" s="61"/>
      <c r="N25" s="61"/>
      <c r="O25" s="61"/>
      <c r="P25" s="54"/>
      <c r="Q25" s="54"/>
      <c r="R25" s="54"/>
    </row>
    <row r="26" customFormat="false" ht="15" hidden="false" customHeight="false" outlineLevel="0" collapsed="false">
      <c r="A26" s="52" t="s">
        <v>122</v>
      </c>
      <c r="B26" s="52" t="s">
        <v>106</v>
      </c>
      <c r="C26" s="53" t="n">
        <v>-38</v>
      </c>
      <c r="D26" s="53" t="n">
        <v>-81</v>
      </c>
      <c r="E26" s="53" t="n">
        <v>-63</v>
      </c>
      <c r="F26" s="53" t="n">
        <v>-39</v>
      </c>
      <c r="G26" s="53" t="n">
        <v>-93</v>
      </c>
      <c r="H26" s="53" t="n">
        <v>-55</v>
      </c>
      <c r="I26" s="62" t="n">
        <f aca="false">I19*Inputs!M29</f>
        <v>-60.0011277684681</v>
      </c>
      <c r="J26" s="62" t="n">
        <f aca="false">J19*Inputs!N29</f>
        <v>-62.1831563350641</v>
      </c>
      <c r="K26" s="62" t="n">
        <f aca="false">K19*Inputs!O29</f>
        <v>-64.4806362881089</v>
      </c>
      <c r="L26" s="62" t="n">
        <f aca="false">L19*Inputs!P29</f>
        <v>-66.2424444786101</v>
      </c>
      <c r="M26" s="62" t="n">
        <f aca="false">M19*Inputs!Q29</f>
        <v>-68.7921275019041</v>
      </c>
      <c r="N26" s="62" t="n">
        <f aca="false">N19*Inputs!R29</f>
        <v>-71.4794970945176</v>
      </c>
      <c r="O26" s="62" t="n">
        <f aca="false">O19*Inputs!S29</f>
        <v>-74.3129542702515</v>
      </c>
      <c r="P26" s="62" t="n">
        <f aca="false">P19*Inputs!T29</f>
        <v>-77.3014526964229</v>
      </c>
      <c r="Q26" s="62" t="n">
        <f aca="false">Q19*Inputs!U29</f>
        <v>-80.454537370396</v>
      </c>
      <c r="R26" s="62" t="n">
        <f aca="false">R19*Inputs!V29</f>
        <v>-83.7823861567363</v>
      </c>
    </row>
    <row r="27" customFormat="false" ht="15" hidden="false" customHeight="false" outlineLevel="0" collapsed="false">
      <c r="A27" s="55" t="s">
        <v>123</v>
      </c>
      <c r="B27" s="55" t="s">
        <v>110</v>
      </c>
      <c r="C27" s="56" t="n">
        <f aca="false">C23+C24+C25+C26</f>
        <v>-714</v>
      </c>
      <c r="D27" s="56" t="n">
        <f aca="false">D23+D24+D25+D26</f>
        <v>-696</v>
      </c>
      <c r="E27" s="56" t="n">
        <f aca="false">E23+E24+E25+E26</f>
        <v>-634</v>
      </c>
      <c r="F27" s="56" t="n">
        <f aca="false">F23+F24+F25+F26</f>
        <v>-653</v>
      </c>
      <c r="G27" s="56" t="n">
        <f aca="false">G23+G24+G25+G26</f>
        <v>-1149</v>
      </c>
      <c r="H27" s="56" t="n">
        <f aca="false">H23+H24+H25+H26</f>
        <v>-1483</v>
      </c>
      <c r="I27" s="56" t="n">
        <f aca="false">I23+I24+I25+I26</f>
        <v>-12.4439829151556</v>
      </c>
      <c r="J27" s="56" t="n">
        <f aca="false">J23+J24+J25+J26</f>
        <v>-13.572232536729</v>
      </c>
      <c r="K27" s="56" t="n">
        <f aca="false">K23+K24+K25+K26</f>
        <v>-14.7641681414371</v>
      </c>
      <c r="L27" s="56" t="n">
        <f aca="false">L23+L24+L25+L26</f>
        <v>-15.3648381403644</v>
      </c>
      <c r="M27" s="56" t="n">
        <f aca="false">M23+M24+M25+M26</f>
        <v>-16.6936385665452</v>
      </c>
      <c r="N27" s="56" t="n">
        <f aca="false">N23+N24+N25+N26</f>
        <v>-18.0958805160121</v>
      </c>
      <c r="O27" s="56" t="n">
        <f aca="false">O23+O24+O25+O26</f>
        <v>-19.5750838830493</v>
      </c>
      <c r="P27" s="56" t="n">
        <f aca="false">P23+P24+P25+P26</f>
        <v>-21.134907676265</v>
      </c>
      <c r="Q27" s="56" t="n">
        <f aca="false">Q23+Q24+Q25+Q26</f>
        <v>-22.7791527424814</v>
      </c>
      <c r="R27" s="56" t="n">
        <f aca="false">R23+R24+R25+R26</f>
        <v>-24.5117642051979</v>
      </c>
    </row>
    <row r="28" customFormat="false" ht="15" hidden="false" customHeight="false" outlineLevel="0" collapsed="false">
      <c r="A28" s="51" t="s">
        <v>124</v>
      </c>
      <c r="B28" s="60" t="s">
        <v>110</v>
      </c>
      <c r="C28" s="53" t="n">
        <f aca="false">C20+C27</f>
        <v>3749</v>
      </c>
      <c r="D28" s="53" t="n">
        <f aca="false">D20+D27</f>
        <v>2559</v>
      </c>
      <c r="E28" s="53" t="n">
        <f aca="false">E20+E27</f>
        <v>3008</v>
      </c>
      <c r="F28" s="53" t="n">
        <f aca="false">F20+F27</f>
        <v>3629</v>
      </c>
      <c r="G28" s="53" t="n">
        <f aca="false">G20+G27</f>
        <v>3480</v>
      </c>
      <c r="H28" s="53" t="n">
        <f aca="false">H20+H27</f>
        <v>1068</v>
      </c>
      <c r="I28" s="53" t="n">
        <f aca="false">I20+I27</f>
        <v>5280.62935104028</v>
      </c>
      <c r="J28" s="53" t="n">
        <f aca="false">J20+J27</f>
        <v>5137.69174197125</v>
      </c>
      <c r="K28" s="53" t="n">
        <f aca="false">K20+K27</f>
        <v>4985.21319820064</v>
      </c>
      <c r="L28" s="53" t="n">
        <f aca="false">L20+L27</f>
        <v>5023.63068312537</v>
      </c>
      <c r="M28" s="53" t="n">
        <f aca="false">M20+M27</f>
        <v>4851.42886687453</v>
      </c>
      <c r="N28" s="53" t="n">
        <f aca="false">N20+N27</f>
        <v>4669.09288719888</v>
      </c>
      <c r="O28" s="53" t="n">
        <f aca="false">O20+O27</f>
        <v>4476.48089799719</v>
      </c>
      <c r="P28" s="53" t="n">
        <f aca="false">P20+P27</f>
        <v>4273.48754773394</v>
      </c>
      <c r="Q28" s="53" t="n">
        <f aca="false">Q20+Q27</f>
        <v>4060.0500094857</v>
      </c>
      <c r="R28" s="53" t="n">
        <f aca="false">R20+R27</f>
        <v>3836.15469836009</v>
      </c>
    </row>
    <row r="29" customFormat="false" ht="15" hidden="false" customHeight="false" outlineLevel="0" collapsed="false">
      <c r="A29" s="63" t="s">
        <v>47</v>
      </c>
      <c r="B29" s="63" t="s">
        <v>106</v>
      </c>
      <c r="C29" s="63" t="n">
        <v>1334</v>
      </c>
      <c r="D29" s="63" t="n">
        <v>849</v>
      </c>
      <c r="E29" s="63" t="n">
        <v>977</v>
      </c>
      <c r="F29" s="57" t="n">
        <v>1194</v>
      </c>
      <c r="G29" s="57" t="n">
        <v>951</v>
      </c>
      <c r="H29" s="57" t="n">
        <v>142</v>
      </c>
      <c r="I29" s="62" t="n">
        <f aca="false">I28*Inputs!M30</f>
        <v>1770.87916340808</v>
      </c>
      <c r="J29" s="62" t="n">
        <f aca="false">J28*Inputs!N30</f>
        <v>1722.94449184894</v>
      </c>
      <c r="K29" s="62" t="n">
        <f aca="false">K28*Inputs!O30</f>
        <v>1671.8102315023</v>
      </c>
      <c r="L29" s="62" t="n">
        <f aca="false">L28*Inputs!P30</f>
        <v>1684.69368137941</v>
      </c>
      <c r="M29" s="62" t="n">
        <f aca="false">M28*Inputs!Q30</f>
        <v>1626.94514649321</v>
      </c>
      <c r="N29" s="62" t="n">
        <f aca="false">N28*Inputs!R30</f>
        <v>1565.79808130796</v>
      </c>
      <c r="O29" s="62" t="n">
        <f aca="false">O28*Inputs!S30</f>
        <v>1501.20491719341</v>
      </c>
      <c r="P29" s="62" t="n">
        <f aca="false">P28*Inputs!T30</f>
        <v>1433.13032411091</v>
      </c>
      <c r="Q29" s="62" t="n">
        <f aca="false">Q28*Inputs!U30</f>
        <v>1361.55323281241</v>
      </c>
      <c r="R29" s="62" t="n">
        <f aca="false">R28*Inputs!V30</f>
        <v>1286.46908755253</v>
      </c>
    </row>
    <row r="30" customFormat="false" ht="15" hidden="false" customHeight="false" outlineLevel="0" collapsed="false">
      <c r="A30" s="64" t="s">
        <v>125</v>
      </c>
      <c r="B30" s="65" t="s">
        <v>110</v>
      </c>
      <c r="C30" s="66" t="n">
        <f aca="false">C28-C29</f>
        <v>2415</v>
      </c>
      <c r="D30" s="66" t="n">
        <f aca="false">D28-D29</f>
        <v>1710</v>
      </c>
      <c r="E30" s="66" t="n">
        <f aca="false">E28-E29</f>
        <v>2031</v>
      </c>
      <c r="F30" s="66" t="n">
        <f aca="false">F28-F29</f>
        <v>2435</v>
      </c>
      <c r="G30" s="66" t="n">
        <f aca="false">G28-G29</f>
        <v>2529</v>
      </c>
      <c r="H30" s="66" t="n">
        <f aca="false">H28-H29</f>
        <v>926</v>
      </c>
      <c r="I30" s="66" t="n">
        <f aca="false">I28-I29</f>
        <v>3509.7501876322</v>
      </c>
      <c r="J30" s="66" t="n">
        <f aca="false">J28-J29</f>
        <v>3414.74725012232</v>
      </c>
      <c r="K30" s="66" t="n">
        <f aca="false">K28-K29</f>
        <v>3313.40296669834</v>
      </c>
      <c r="L30" s="66" t="n">
        <f aca="false">L28-L29</f>
        <v>3338.93700174596</v>
      </c>
      <c r="M30" s="66" t="n">
        <f aca="false">M28-M29</f>
        <v>3224.48372038131</v>
      </c>
      <c r="N30" s="66" t="n">
        <f aca="false">N28-N29</f>
        <v>3103.29480589091</v>
      </c>
      <c r="O30" s="66" t="n">
        <f aca="false">O28-O29</f>
        <v>2975.27598080377</v>
      </c>
      <c r="P30" s="66" t="n">
        <f aca="false">P28-P29</f>
        <v>2840.35722362303</v>
      </c>
      <c r="Q30" s="66" t="n">
        <f aca="false">Q28-Q29</f>
        <v>2698.49677667328</v>
      </c>
      <c r="R30" s="66" t="n">
        <f aca="false">R28-R29</f>
        <v>2549.68561080756</v>
      </c>
    </row>
    <row r="31" customFormat="false" ht="13.8" hidden="false" customHeight="false" outlineLevel="0" collapsed="false">
      <c r="A31" s="52" t="s">
        <v>126</v>
      </c>
      <c r="B31" s="52"/>
      <c r="C31" s="0"/>
      <c r="D31" s="0"/>
      <c r="E31" s="0"/>
      <c r="F31" s="53"/>
      <c r="G31" s="53"/>
      <c r="H31" s="53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customFormat="false" ht="15" hidden="false" customHeight="false" outlineLevel="0" collapsed="false">
      <c r="A32" s="67" t="s">
        <v>127</v>
      </c>
      <c r="B32" s="67"/>
      <c r="C32" s="53" t="n">
        <v>65</v>
      </c>
      <c r="D32" s="53" t="n">
        <v>66</v>
      </c>
      <c r="E32" s="53" t="n">
        <v>68</v>
      </c>
      <c r="F32" s="53" t="n">
        <v>54</v>
      </c>
      <c r="G32" s="53" t="n">
        <v>45</v>
      </c>
      <c r="H32" s="53" t="n">
        <v>38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</row>
    <row r="33" customFormat="false" ht="15" hidden="false" customHeight="false" outlineLevel="0" collapsed="false">
      <c r="A33" s="67" t="s">
        <v>128</v>
      </c>
      <c r="B33" s="67"/>
      <c r="C33" s="53" t="n">
        <v>0</v>
      </c>
      <c r="D33" s="53" t="n">
        <v>0</v>
      </c>
      <c r="E33" s="53" t="n">
        <v>0</v>
      </c>
      <c r="F33" s="53" t="n">
        <v>14</v>
      </c>
      <c r="G33" s="53" t="n">
        <v>36</v>
      </c>
      <c r="H33" s="53" t="n">
        <v>46</v>
      </c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customFormat="false" ht="15.75" hidden="false" customHeight="false" outlineLevel="0" collapsed="false">
      <c r="A34" s="68" t="s">
        <v>129</v>
      </c>
      <c r="B34" s="68"/>
      <c r="C34" s="69" t="n">
        <f aca="false">C30-C32-C33</f>
        <v>2350</v>
      </c>
      <c r="D34" s="69" t="n">
        <f aca="false">D30-D32-D33</f>
        <v>1644</v>
      </c>
      <c r="E34" s="69" t="n">
        <f aca="false">E30-E32-E33</f>
        <v>1963</v>
      </c>
      <c r="F34" s="69" t="n">
        <f aca="false">F30-F32-F33</f>
        <v>2367</v>
      </c>
      <c r="G34" s="69" t="n">
        <f aca="false">G30-G32-G33</f>
        <v>2448</v>
      </c>
      <c r="H34" s="69" t="n">
        <f aca="false">H30-H32-H33</f>
        <v>842</v>
      </c>
      <c r="I34" s="69" t="n">
        <f aca="false">I30-I32-I33</f>
        <v>3509.7501876322</v>
      </c>
      <c r="J34" s="69" t="n">
        <f aca="false">J30-J32-J33</f>
        <v>3414.74725012232</v>
      </c>
      <c r="K34" s="69" t="n">
        <f aca="false">K30-K32-K33</f>
        <v>3313.40296669834</v>
      </c>
      <c r="L34" s="69" t="n">
        <f aca="false">L30-L32-L33</f>
        <v>3338.93700174596</v>
      </c>
      <c r="M34" s="69" t="n">
        <f aca="false">M30-M32-M33</f>
        <v>3224.48372038131</v>
      </c>
      <c r="N34" s="69" t="n">
        <f aca="false">N30-N32-N33</f>
        <v>3103.29480589091</v>
      </c>
      <c r="O34" s="69" t="n">
        <f aca="false">O30-O32-O33</f>
        <v>2975.27598080377</v>
      </c>
      <c r="P34" s="69" t="n">
        <f aca="false">P30-P32-P33</f>
        <v>2840.35722362303</v>
      </c>
      <c r="Q34" s="69" t="n">
        <f aca="false">Q30-Q32-Q33</f>
        <v>2698.49677667328</v>
      </c>
      <c r="R34" s="69" t="n">
        <f aca="false">R30-R32-R33</f>
        <v>2549.68561080756</v>
      </c>
    </row>
    <row r="35" customFormat="false" ht="15.75" hidden="false" customHeight="false" outlineLevel="0" collapsed="false">
      <c r="C35" s="0"/>
      <c r="D35" s="0"/>
      <c r="E35" s="0"/>
      <c r="F35" s="50"/>
      <c r="G35" s="50"/>
      <c r="H35" s="50"/>
    </row>
    <row r="36" customFormat="false" ht="15" hidden="false" customHeight="false" outlineLevel="0" collapsed="false">
      <c r="C36" s="0"/>
      <c r="D36" s="0"/>
      <c r="E36" s="0"/>
      <c r="F36" s="50"/>
      <c r="G36" s="50"/>
      <c r="H36" s="50"/>
    </row>
    <row r="37" customFormat="false" ht="15" hidden="false" customHeight="false" outlineLevel="0" collapsed="false">
      <c r="A37" s="67" t="s">
        <v>130</v>
      </c>
      <c r="C37" s="70" t="n">
        <f aca="false">C34+C16</f>
        <v>4137</v>
      </c>
      <c r="D37" s="70" t="n">
        <f aca="false">D34+D16</f>
        <v>3545</v>
      </c>
      <c r="E37" s="70" t="n">
        <f aca="false">E34+E16</f>
        <v>3908</v>
      </c>
      <c r="F37" s="70" t="n">
        <f aca="false">F34+F16</f>
        <v>4401</v>
      </c>
      <c r="G37" s="70" t="n">
        <f aca="false">G34+G16</f>
        <v>4950</v>
      </c>
      <c r="H37" s="70" t="n">
        <f aca="false">H34+H16</f>
        <v>3852</v>
      </c>
      <c r="I37" s="70" t="n">
        <f aca="false">I34+I16</f>
        <v>6885.27545761391</v>
      </c>
      <c r="J37" s="70" t="n">
        <f aca="false">J34+J16</f>
        <v>6983.74027865758</v>
      </c>
      <c r="K37" s="70" t="n">
        <f aca="false">K34+K16</f>
        <v>7086.9523312991</v>
      </c>
      <c r="L37" s="70" t="n">
        <f aca="false">L34+L16</f>
        <v>7328.76682019278</v>
      </c>
      <c r="M37" s="70" t="n">
        <f aca="false">M34+M16</f>
        <v>7442.99007662494</v>
      </c>
      <c r="N37" s="70" t="n">
        <f aca="false">N34+N16</f>
        <v>7563.58426369928</v>
      </c>
      <c r="O37" s="70" t="n">
        <f aca="false">O34+O16</f>
        <v>7691.20630481336</v>
      </c>
      <c r="P37" s="70" t="n">
        <f aca="false">P34+P16</f>
        <v>7826.58043431149</v>
      </c>
      <c r="Q37" s="70" t="n">
        <f aca="false">Q34+Q16</f>
        <v>7970.50467302189</v>
      </c>
      <c r="R37" s="70" t="n">
        <f aca="false">R34+R16</f>
        <v>8123.8579020886</v>
      </c>
    </row>
    <row r="38" customFormat="false" ht="15" hidden="false" customHeight="false" outlineLevel="0" collapsed="false">
      <c r="A38" s="0" t="s">
        <v>131</v>
      </c>
      <c r="C38" s="70" t="n">
        <f aca="false">C37+C29</f>
        <v>5471</v>
      </c>
      <c r="D38" s="70" t="n">
        <f aca="false">D37+D29</f>
        <v>4394</v>
      </c>
      <c r="E38" s="70" t="n">
        <f aca="false">E37+E29</f>
        <v>4885</v>
      </c>
      <c r="F38" s="70" t="n">
        <f aca="false">F37+F29</f>
        <v>5595</v>
      </c>
      <c r="G38" s="70" t="n">
        <f aca="false">G37+G29</f>
        <v>5901</v>
      </c>
      <c r="H38" s="70" t="n">
        <f aca="false">H37+H29</f>
        <v>3994</v>
      </c>
      <c r="I38" s="70" t="n">
        <f aca="false">I37+I29</f>
        <v>8656.15462102199</v>
      </c>
      <c r="J38" s="70" t="n">
        <f aca="false">J37+J29</f>
        <v>8706.68477050652</v>
      </c>
      <c r="K38" s="70" t="n">
        <f aca="false">K37+K29</f>
        <v>8758.7625628014</v>
      </c>
      <c r="L38" s="70" t="n">
        <f aca="false">L37+L29</f>
        <v>9013.46050157219</v>
      </c>
      <c r="M38" s="70" t="n">
        <f aca="false">M37+M29</f>
        <v>9069.93522311815</v>
      </c>
      <c r="N38" s="70" t="n">
        <f aca="false">N37+N29</f>
        <v>9129.38234500724</v>
      </c>
      <c r="O38" s="70" t="n">
        <f aca="false">O37+O29</f>
        <v>9192.41122200677</v>
      </c>
      <c r="P38" s="70" t="n">
        <f aca="false">P37+P29</f>
        <v>9259.7107584224</v>
      </c>
      <c r="Q38" s="70" t="n">
        <f aca="false">Q37+Q29</f>
        <v>9332.0579058343</v>
      </c>
      <c r="R38" s="70" t="n">
        <f aca="false">R37+R29</f>
        <v>9410.32698964113</v>
      </c>
    </row>
    <row r="39" customFormat="false" ht="15" hidden="false" customHeight="false" outlineLevel="0" collapsed="false">
      <c r="A39" s="0" t="s">
        <v>132</v>
      </c>
      <c r="C39" s="0"/>
      <c r="D39" s="70" t="n">
        <f aca="false">('Balance Sheet'!C22-'Balance Sheet'!B22)</f>
        <v>2770</v>
      </c>
      <c r="E39" s="70" t="n">
        <f aca="false">('Balance Sheet'!D22-'Balance Sheet'!C22)</f>
        <v>3992</v>
      </c>
      <c r="F39" s="70" t="n">
        <f aca="false">('Balance Sheet'!E22-'Balance Sheet'!D22)</f>
        <v>5105</v>
      </c>
      <c r="G39" s="70" t="n">
        <f aca="false">('Balance Sheet'!F22-'Balance Sheet'!E22)</f>
        <v>23298</v>
      </c>
      <c r="H39" s="70" t="n">
        <f aca="false">('Balance Sheet'!G22-'Balance Sheet'!F22)</f>
        <v>5126</v>
      </c>
      <c r="I39" s="70" t="n">
        <f aca="false">('Balance Sheet'!H22-'Balance Sheet'!G22)</f>
        <v>5934.49524265013</v>
      </c>
      <c r="J39" s="70" t="n">
        <f aca="false">('Balance Sheet'!I22-'Balance Sheet'!H22)</f>
        <v>6274.63000714219</v>
      </c>
      <c r="K39" s="70" t="n">
        <f aca="false">('Balance Sheet'!J22-'Balance Sheet'!I22)</f>
        <v>6634.25954807026</v>
      </c>
      <c r="L39" s="70" t="n">
        <f aca="false">('Balance Sheet'!K22-'Balance Sheet'!J22)</f>
        <v>7014.50120581812</v>
      </c>
      <c r="M39" s="70" t="n">
        <f aca="false">('Balance Sheet'!L22-'Balance Sheet'!K22)</f>
        <v>7416.53636097729</v>
      </c>
      <c r="N39" s="70" t="n">
        <f aca="false">('Balance Sheet'!M22-'Balance Sheet'!L22)</f>
        <v>7841.6141048026</v>
      </c>
      <c r="O39" s="70" t="n">
        <f aca="false">('Balance Sheet'!N22-'Balance Sheet'!M22)</f>
        <v>8291.05512003941</v>
      </c>
      <c r="P39" s="70" t="n">
        <f aca="false">('Balance Sheet'!O22-'Balance Sheet'!N22)</f>
        <v>8766.25578417981</v>
      </c>
      <c r="Q39" s="70" t="n">
        <f aca="false">('Balance Sheet'!P22-'Balance Sheet'!O22)</f>
        <v>9268.69250789646</v>
      </c>
      <c r="R39" s="70" t="n">
        <f aca="false">('Balance Sheet'!Q22-'Balance Sheet'!P22)</f>
        <v>9799.92632213316</v>
      </c>
    </row>
    <row r="40" customFormat="false" ht="15" hidden="false" customHeight="false" outlineLevel="0" collapsed="false">
      <c r="A40" s="0" t="e">
        <f aca="false">- capex</f>
        <v>#NAME?</v>
      </c>
      <c r="C40" s="70" t="n">
        <f aca="false">C38-C39</f>
        <v>5471</v>
      </c>
      <c r="D40" s="70" t="n">
        <f aca="false">D38-D39</f>
        <v>1624</v>
      </c>
      <c r="E40" s="70" t="n">
        <f aca="false">E38-E39</f>
        <v>893</v>
      </c>
      <c r="F40" s="70" t="n">
        <f aca="false">F38-F39</f>
        <v>490</v>
      </c>
      <c r="G40" s="70" t="n">
        <f aca="false">G38-G39</f>
        <v>-17397</v>
      </c>
      <c r="H40" s="70" t="n">
        <f aca="false">H38-H39</f>
        <v>-1132</v>
      </c>
      <c r="I40" s="70" t="n">
        <f aca="false">I38-I39</f>
        <v>2721.65937837187</v>
      </c>
      <c r="J40" s="70" t="n">
        <f aca="false">J38-J39</f>
        <v>2432.05476336433</v>
      </c>
      <c r="K40" s="70" t="n">
        <f aca="false">K38-K39</f>
        <v>2124.50301473114</v>
      </c>
      <c r="L40" s="70" t="n">
        <f aca="false">L38-L39</f>
        <v>1998.95929575408</v>
      </c>
      <c r="M40" s="70" t="n">
        <f aca="false">M38-M39</f>
        <v>1653.39886214086</v>
      </c>
      <c r="N40" s="70" t="n">
        <f aca="false">N38-N39</f>
        <v>1287.76824020464</v>
      </c>
      <c r="O40" s="70" t="n">
        <f aca="false">O38-O39</f>
        <v>901.35610196736</v>
      </c>
      <c r="P40" s="70" t="n">
        <f aca="false">P38-P39</f>
        <v>493.454974242584</v>
      </c>
      <c r="Q40" s="70" t="n">
        <f aca="false">Q38-Q39</f>
        <v>63.3653979378432</v>
      </c>
      <c r="R40" s="70" t="n">
        <f aca="false">R38-R39</f>
        <v>-389.599332492033</v>
      </c>
    </row>
    <row r="41" customFormat="false" ht="15" hidden="false" customHeight="false" outlineLevel="0" collapsed="false">
      <c r="C41" s="0"/>
      <c r="D41" s="0"/>
      <c r="E41" s="0"/>
      <c r="F41" s="50"/>
      <c r="G41" s="50"/>
      <c r="H41" s="50"/>
    </row>
    <row r="42" customFormat="false" ht="15" hidden="false" customHeight="false" outlineLevel="0" collapsed="false">
      <c r="C42" s="0"/>
      <c r="D42" s="0"/>
      <c r="E42" s="0"/>
      <c r="F42" s="50"/>
      <c r="G42" s="50"/>
      <c r="H42" s="50"/>
    </row>
    <row r="43" customFormat="false" ht="15" hidden="false" customHeight="false" outlineLevel="0" collapsed="false">
      <c r="C43" s="0"/>
      <c r="D43" s="0"/>
      <c r="E43" s="0"/>
      <c r="F43" s="50"/>
      <c r="G43" s="50"/>
      <c r="H43" s="50"/>
    </row>
    <row r="44" customFormat="false" ht="15" hidden="false" customHeight="false" outlineLevel="0" collapsed="false">
      <c r="A44" s="51" t="s">
        <v>133</v>
      </c>
      <c r="B44" s="51"/>
      <c r="C44" s="71" t="n">
        <f aca="false">(('Cash Flow Statement'!B5-'Income Statement'!C16)-C25)/'Balance Sheet'!B72</f>
        <v>0.0631420566566359</v>
      </c>
      <c r="D44" s="71" t="n">
        <f aca="false">(('Cash Flow Statement'!C5-'Income Statement'!D16)-D25)/'Balance Sheet'!C72</f>
        <v>0.057205772113943</v>
      </c>
      <c r="E44" s="71" t="n">
        <f aca="false">(('Cash Flow Statement'!D5-'Income Statement'!E16)-E25)/'Balance Sheet'!D72</f>
        <v>0.0573047858942065</v>
      </c>
      <c r="F44" s="71" t="n">
        <f aca="false">(('Cash Flow Statement'!E5-'Income Statement'!F16)-F25)/'Balance Sheet'!E72</f>
        <v>0.0486471160077771</v>
      </c>
      <c r="G44" s="71" t="n">
        <f aca="false">(('Cash Flow Statement'!F5-'Income Statement'!G16)-G25)/'Balance Sheet'!F72</f>
        <v>0.0407703675901382</v>
      </c>
      <c r="H44" s="71" t="n">
        <f aca="false">(('Cash Flow Statement'!G5-'Income Statement'!H16)-H25)/'Balance Sheet'!G72</f>
        <v>0.0481534793756466</v>
      </c>
    </row>
    <row r="45" customFormat="false" ht="15" hidden="false" customHeight="false" outlineLevel="0" collapsed="false">
      <c r="A45" s="0" t="s">
        <v>134</v>
      </c>
      <c r="C45" s="0"/>
      <c r="D45" s="0"/>
      <c r="E45" s="0"/>
      <c r="F45" s="50"/>
      <c r="G45" s="50"/>
      <c r="H45" s="50"/>
    </row>
    <row r="46" customFormat="false" ht="15" hidden="false" customHeight="false" outlineLevel="0" collapsed="false">
      <c r="A46" s="67" t="s">
        <v>135</v>
      </c>
      <c r="B46" s="67"/>
      <c r="C46" s="72" t="n">
        <f aca="false">C34/C49</f>
        <v>2.69804822043628</v>
      </c>
      <c r="D46" s="72" t="n">
        <f aca="false">D34/D49</f>
        <v>1.8745724059293</v>
      </c>
      <c r="E46" s="72" t="n">
        <f aca="false">E34/E49</f>
        <v>2.18840579710145</v>
      </c>
      <c r="F46" s="72" t="n">
        <f aca="false">F34/F49</f>
        <v>2.6010989010989</v>
      </c>
      <c r="G46" s="72" t="n">
        <f aca="false">G34/G49</f>
        <v>2.57413249211356</v>
      </c>
      <c r="H46" s="72" t="n">
        <f aca="false">H34/H49</f>
        <v>0.842</v>
      </c>
    </row>
    <row r="47" customFormat="false" ht="15" hidden="false" customHeight="false" outlineLevel="0" collapsed="false">
      <c r="A47" s="67" t="s">
        <v>136</v>
      </c>
      <c r="B47" s="67"/>
      <c r="C47" s="72" t="n">
        <f aca="false">C34/C50</f>
        <v>2.67349260523322</v>
      </c>
      <c r="D47" s="72" t="n">
        <f aca="false">D34/D50</f>
        <v>1.86606129398411</v>
      </c>
      <c r="E47" s="72" t="n">
        <f aca="false">E34/E50</f>
        <v>2.17869034406215</v>
      </c>
      <c r="F47" s="72" t="n">
        <f aca="false">F34/F50</f>
        <v>2.58971553610503</v>
      </c>
      <c r="G47" s="72" t="n">
        <f aca="false">G34/G50</f>
        <v>2.5553235908142</v>
      </c>
      <c r="H47" s="72" t="n">
        <f aca="false">H34/H50</f>
        <v>0.83531746031746</v>
      </c>
    </row>
    <row r="48" customFormat="false" ht="15" hidden="false" customHeight="false" outlineLevel="0" collapsed="false">
      <c r="A48" s="0" t="s">
        <v>137</v>
      </c>
      <c r="C48" s="0"/>
      <c r="D48" s="0"/>
      <c r="E48" s="0"/>
      <c r="F48" s="50"/>
      <c r="G48" s="50"/>
      <c r="H48" s="50"/>
    </row>
    <row r="49" customFormat="false" ht="15" hidden="false" customHeight="false" outlineLevel="0" collapsed="false">
      <c r="A49" s="67" t="s">
        <v>135</v>
      </c>
      <c r="B49" s="67"/>
      <c r="C49" s="50" t="n">
        <v>871</v>
      </c>
      <c r="D49" s="50" t="n">
        <v>877</v>
      </c>
      <c r="E49" s="50" t="n">
        <v>897</v>
      </c>
      <c r="F49" s="50" t="n">
        <v>910</v>
      </c>
      <c r="G49" s="50" t="n">
        <v>951</v>
      </c>
      <c r="H49" s="50" t="n">
        <v>1000</v>
      </c>
    </row>
    <row r="50" customFormat="false" ht="15" hidden="false" customHeight="false" outlineLevel="0" collapsed="false">
      <c r="A50" s="67" t="s">
        <v>136</v>
      </c>
      <c r="B50" s="67"/>
      <c r="C50" s="50" t="n">
        <v>879</v>
      </c>
      <c r="D50" s="50" t="n">
        <v>881</v>
      </c>
      <c r="E50" s="50" t="n">
        <v>901</v>
      </c>
      <c r="F50" s="50" t="n">
        <v>914</v>
      </c>
      <c r="G50" s="50" t="n">
        <v>958</v>
      </c>
      <c r="H50" s="50" t="n">
        <v>1008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22" activeCellId="0" sqref="H22"/>
    </sheetView>
  </sheetViews>
  <sheetFormatPr defaultRowHeight="15"/>
  <cols>
    <col collapsed="false" hidden="false" max="1" min="1" style="0" width="27.3157894736842"/>
    <col collapsed="false" hidden="false" max="2" min="2" style="0" width="12.4251012145749"/>
    <col collapsed="false" hidden="false" max="7" min="3" style="0" width="9.85425101214575"/>
    <col collapsed="false" hidden="false" max="8" min="8" style="73" width="9.85425101214575"/>
    <col collapsed="false" hidden="false" max="9" min="9" style="0" width="11.1417004048583"/>
    <col collapsed="false" hidden="false" max="10" min="10" style="0" width="9.85425101214575"/>
    <col collapsed="false" hidden="false" max="19" min="11" style="0" width="10.6032388663968"/>
    <col collapsed="false" hidden="false" max="1025" min="20" style="0" width="8.57085020242915"/>
  </cols>
  <sheetData>
    <row r="1" customFormat="false" ht="15" hidden="false" customHeight="false" outlineLevel="0" collapsed="false">
      <c r="B1" s="0" t="s">
        <v>100</v>
      </c>
      <c r="C1" s="50" t="n">
        <v>2012</v>
      </c>
      <c r="D1" s="50" t="n">
        <v>2013</v>
      </c>
      <c r="E1" s="50" t="n">
        <v>2014</v>
      </c>
      <c r="F1" s="50" t="n">
        <v>2015</v>
      </c>
      <c r="G1" s="50" t="n">
        <v>2016</v>
      </c>
      <c r="H1" s="74" t="n">
        <v>2017</v>
      </c>
      <c r="I1" s="50" t="n">
        <v>2018</v>
      </c>
      <c r="J1" s="50" t="n">
        <v>2019</v>
      </c>
      <c r="K1" s="50" t="n">
        <v>2020</v>
      </c>
      <c r="L1" s="50" t="n">
        <v>2021</v>
      </c>
      <c r="M1" s="50" t="n">
        <v>2022</v>
      </c>
      <c r="N1" s="50" t="n">
        <v>2023</v>
      </c>
      <c r="O1" s="50" t="n">
        <v>2024</v>
      </c>
      <c r="P1" s="50" t="n">
        <v>2025</v>
      </c>
      <c r="Q1" s="50" t="n">
        <v>2026</v>
      </c>
      <c r="R1" s="50" t="n">
        <v>2027</v>
      </c>
    </row>
    <row r="2" customFormat="false" ht="15" hidden="false" customHeight="false" outlineLevel="0" collapsed="false">
      <c r="A2" s="51" t="s">
        <v>101</v>
      </c>
      <c r="B2" s="51"/>
      <c r="F2" s="50"/>
      <c r="G2" s="50"/>
      <c r="H2" s="74"/>
    </row>
    <row r="3" customFormat="false" ht="15" hidden="false" customHeight="false" outlineLevel="0" collapsed="false">
      <c r="A3" s="52" t="s">
        <v>102</v>
      </c>
      <c r="B3" s="52" t="s">
        <v>103</v>
      </c>
      <c r="C3" s="53" t="n">
        <v>14187</v>
      </c>
      <c r="D3" s="53" t="n">
        <v>14541</v>
      </c>
      <c r="E3" s="53" t="n">
        <v>15550</v>
      </c>
      <c r="F3" s="53" t="n">
        <v>14987</v>
      </c>
      <c r="G3" s="53" t="n">
        <v>15234</v>
      </c>
      <c r="H3" s="75" t="n">
        <v>15330</v>
      </c>
      <c r="I3" s="54" t="n">
        <f aca="false">H3*(1+Inputs!M14)</f>
        <v>15578.0985059617</v>
      </c>
      <c r="J3" s="54" t="n">
        <f aca="false">I3*(1+Inputs!N14)</f>
        <v>15830.2122023123</v>
      </c>
      <c r="K3" s="54" t="n">
        <f aca="false">J3*(1+Inputs!O14)</f>
        <v>16086.406070313</v>
      </c>
      <c r="L3" s="54" t="n">
        <f aca="false">K3*(1+Inputs!P14)</f>
        <v>16346.7461428726</v>
      </c>
      <c r="M3" s="54" t="n">
        <f aca="false">L3*(1+Inputs!Q14)</f>
        <v>16611.2995215668</v>
      </c>
      <c r="N3" s="54" t="n">
        <f aca="false">M3*(1+Inputs!R14)</f>
        <v>16880.1343939336</v>
      </c>
      <c r="O3" s="54" t="n">
        <f aca="false">N3*(1+Inputs!S14)</f>
        <v>17153.3200510483</v>
      </c>
      <c r="P3" s="54" t="n">
        <f aca="false">O3*(1+Inputs!T14)</f>
        <v>17430.9269053829</v>
      </c>
      <c r="Q3" s="54" t="n">
        <f aca="false">P3*(1+Inputs!U14)</f>
        <v>17713.0265089545</v>
      </c>
      <c r="R3" s="54" t="n">
        <f aca="false">Q3*(1+Inputs!V14)</f>
        <v>17999.6915717681</v>
      </c>
    </row>
    <row r="4" customFormat="false" ht="15" hidden="false" customHeight="false" outlineLevel="0" collapsed="false">
      <c r="A4" s="52" t="s">
        <v>104</v>
      </c>
      <c r="B4" s="52" t="s">
        <v>103</v>
      </c>
      <c r="C4" s="53" t="n">
        <v>1675</v>
      </c>
      <c r="D4" s="53" t="n">
        <v>1855</v>
      </c>
      <c r="E4" s="53" t="n">
        <v>2184</v>
      </c>
      <c r="F4" s="53" t="n">
        <v>1798</v>
      </c>
      <c r="G4" s="53" t="n">
        <v>1926</v>
      </c>
      <c r="H4" s="75" t="n">
        <v>2426</v>
      </c>
      <c r="I4" s="54" t="n">
        <f aca="false">H4*(1+Inputs!M15)</f>
        <v>2638.9430532151</v>
      </c>
      <c r="J4" s="54" t="n">
        <f aca="false">I4*(1+Inputs!N15)</f>
        <v>2870.57726220619</v>
      </c>
      <c r="K4" s="54" t="n">
        <f aca="false">J4*(1+Inputs!O15)</f>
        <v>3122.54325013036</v>
      </c>
      <c r="L4" s="54" t="n">
        <f aca="false">K4*(1+Inputs!P15)</f>
        <v>3396.6256464531</v>
      </c>
      <c r="M4" s="54" t="n">
        <f aca="false">L4*(1+Inputs!Q15)</f>
        <v>3694.76572715566</v>
      </c>
      <c r="N4" s="54" t="n">
        <f aca="false">M4*(1+Inputs!R15)</f>
        <v>4019.07516444133</v>
      </c>
      <c r="O4" s="54" t="n">
        <f aca="false">N4*(1+Inputs!S15)</f>
        <v>4371.8509833272</v>
      </c>
      <c r="P4" s="54" t="n">
        <f aca="false">O4*(1+Inputs!T15)</f>
        <v>4755.59183105644</v>
      </c>
      <c r="Q4" s="54" t="n">
        <f aca="false">P4*(1+Inputs!U15)</f>
        <v>5173.01567456424</v>
      </c>
      <c r="R4" s="54" t="n">
        <f aca="false">Q4*(1+Inputs!V15)</f>
        <v>5627.07905134548</v>
      </c>
    </row>
    <row r="5" customFormat="false" ht="15" hidden="false" customHeight="false" outlineLevel="0" collapsed="false">
      <c r="A5" s="52" t="s">
        <v>105</v>
      </c>
      <c r="B5" s="52" t="s">
        <v>106</v>
      </c>
      <c r="C5" s="53" t="n">
        <v>616</v>
      </c>
      <c r="D5" s="53" t="n">
        <v>639</v>
      </c>
      <c r="E5" s="53" t="n">
        <v>672</v>
      </c>
      <c r="F5" s="53" t="n">
        <v>657</v>
      </c>
      <c r="G5" s="53" t="n">
        <v>698</v>
      </c>
      <c r="H5" s="75" t="n">
        <v>681</v>
      </c>
      <c r="I5" s="54" t="n">
        <f aca="false">H5*(1+Inputs!M16)</f>
        <v>707.544528579878</v>
      </c>
      <c r="J5" s="54" t="n">
        <f aca="false">I5*(1+Inputs!N16)</f>
        <v>735.123729696507</v>
      </c>
      <c r="K5" s="54" t="n">
        <f aca="false">J5*(1+Inputs!O16)</f>
        <v>763.777933591772</v>
      </c>
      <c r="L5" s="54" t="n">
        <f aca="false">K5*(1+Inputs!P16)</f>
        <v>793.549042529961</v>
      </c>
      <c r="M5" s="54" t="n">
        <f aca="false">L5*(1+Inputs!Q16)</f>
        <v>824.480592073237</v>
      </c>
      <c r="N5" s="54" t="n">
        <f aca="false">M5*(1+Inputs!R16)</f>
        <v>856.617814745546</v>
      </c>
      <c r="O5" s="54" t="n">
        <f aca="false">N5*(1+Inputs!S16)</f>
        <v>890.007706178065</v>
      </c>
      <c r="P5" s="54" t="n">
        <f aca="false">O5*(1+Inputs!T16)</f>
        <v>924.699093832918</v>
      </c>
      <c r="Q5" s="54" t="n">
        <f aca="false">P5*(1+Inputs!U16)</f>
        <v>960.742708405657</v>
      </c>
      <c r="R5" s="54" t="n">
        <f aca="false">Q5*(1+Inputs!V16)</f>
        <v>998.191258010918</v>
      </c>
    </row>
    <row r="6" customFormat="false" ht="15" hidden="false" customHeight="false" outlineLevel="0" collapsed="false">
      <c r="A6" s="76" t="s">
        <v>109</v>
      </c>
      <c r="B6" s="76" t="s">
        <v>110</v>
      </c>
      <c r="C6" s="77" t="n">
        <f aca="false">C3+C4+C5</f>
        <v>16478</v>
      </c>
      <c r="D6" s="77" t="n">
        <f aca="false">D3+D4+D5</f>
        <v>17035</v>
      </c>
      <c r="E6" s="77" t="n">
        <f aca="false">E3+E4+E5</f>
        <v>18406</v>
      </c>
      <c r="F6" s="77" t="n">
        <f aca="false">F3+F4+F5</f>
        <v>17442</v>
      </c>
      <c r="G6" s="77" t="n">
        <f aca="false">G3+G4+G5</f>
        <v>17858</v>
      </c>
      <c r="H6" s="78" t="n">
        <f aca="false">H3+H4+H5</f>
        <v>18437</v>
      </c>
      <c r="I6" s="77" t="n">
        <f aca="false">I3+I4+I5</f>
        <v>18924.5860877567</v>
      </c>
      <c r="J6" s="77" t="n">
        <f aca="false">J3+J4+J5</f>
        <v>19435.913194215</v>
      </c>
      <c r="K6" s="77" t="n">
        <f aca="false">K3+K4+K5</f>
        <v>19972.7272540351</v>
      </c>
      <c r="L6" s="77" t="n">
        <f aca="false">L3+L4+L5</f>
        <v>20536.9208318556</v>
      </c>
      <c r="M6" s="77" t="n">
        <f aca="false">M3+M4+M5</f>
        <v>21130.5458407957</v>
      </c>
      <c r="N6" s="77" t="n">
        <f aca="false">N3+N4+N5</f>
        <v>21755.8273731205</v>
      </c>
      <c r="O6" s="77" t="n">
        <f aca="false">O3+O4+O5</f>
        <v>22415.1787405536</v>
      </c>
      <c r="P6" s="77" t="n">
        <f aca="false">P3+P4+P5</f>
        <v>23111.2178302722</v>
      </c>
      <c r="Q6" s="77" t="n">
        <f aca="false">Q3+Q4+Q5</f>
        <v>23846.7848919244</v>
      </c>
      <c r="R6" s="77" t="n">
        <f aca="false">R3+R4+R5</f>
        <v>24624.9618811245</v>
      </c>
    </row>
    <row r="7" customFormat="false" ht="13.8" hidden="false" customHeight="false" outlineLevel="0" collapsed="false">
      <c r="A7" s="51" t="s">
        <v>111</v>
      </c>
      <c r="B7" s="51"/>
      <c r="C7" s="70"/>
      <c r="D7" s="79" t="n">
        <f aca="false">(D6-C6)/C6</f>
        <v>0.0338026459521787</v>
      </c>
      <c r="E7" s="79" t="n">
        <f aca="false">(E6-D6)/D6</f>
        <v>0.0804813619019665</v>
      </c>
      <c r="F7" s="79" t="n">
        <f aca="false">(F6-E6)/E6</f>
        <v>-0.0523742257959361</v>
      </c>
      <c r="G7" s="79" t="n">
        <f aca="false">(G6-F6)/F6</f>
        <v>0.0238504758628598</v>
      </c>
      <c r="H7" s="79" t="n">
        <f aca="false">(H6-G6)/G6</f>
        <v>0.0324224437227013</v>
      </c>
      <c r="I7" s="80" t="n">
        <f aca="false">AVERAGE(D7:H7)</f>
        <v>0.023636540328754</v>
      </c>
      <c r="J7" s="54"/>
      <c r="K7" s="54"/>
      <c r="L7" s="54"/>
      <c r="M7" s="54"/>
      <c r="N7" s="54"/>
      <c r="O7" s="54"/>
      <c r="P7" s="54"/>
      <c r="Q7" s="54"/>
      <c r="R7" s="81"/>
    </row>
    <row r="8" customFormat="false" ht="15" hidden="false" customHeight="false" outlineLevel="0" collapsed="false">
      <c r="A8" s="52" t="s">
        <v>30</v>
      </c>
      <c r="B8" s="52" t="s">
        <v>106</v>
      </c>
      <c r="C8" s="57" t="n">
        <v>5057</v>
      </c>
      <c r="D8" s="57" t="n">
        <v>5510</v>
      </c>
      <c r="E8" s="57" t="n">
        <v>6005</v>
      </c>
      <c r="F8" s="53" t="n">
        <v>4750</v>
      </c>
      <c r="G8" s="53" t="n">
        <v>4361</v>
      </c>
      <c r="H8" s="75" t="n">
        <v>4400</v>
      </c>
      <c r="I8" s="54" t="n">
        <f aca="false">(I$3+I$4+I$5)*Inputs!M$20</f>
        <v>4763.86064995731</v>
      </c>
      <c r="J8" s="54" t="n">
        <f aca="false">(J$3+J$4+J$5)*Inputs!N$20</f>
        <v>4892.57633601868</v>
      </c>
      <c r="K8" s="54" t="n">
        <f aca="false">(K$3+K$4+K$5)*Inputs!O$20</f>
        <v>5027.70781863406</v>
      </c>
      <c r="L8" s="54" t="n">
        <f aca="false">(L$3+L$4+L$5)*Inputs!P$20</f>
        <v>5169.73151055917</v>
      </c>
      <c r="M8" s="54" t="n">
        <f aca="false">(M$3+M$4+M$5)*Inputs!Q$20</f>
        <v>5319.16393712884</v>
      </c>
      <c r="N8" s="54" t="n">
        <f aca="false">(N$3+N$4+N$5)*Inputs!R$20</f>
        <v>5476.56521783185</v>
      </c>
      <c r="O8" s="54" t="n">
        <f aca="false">(O$3+O$4+O$5)*Inputs!S$20</f>
        <v>5642.54285238852</v>
      </c>
      <c r="P8" s="54" t="n">
        <f aca="false">(P$3+P$4+P$5)*Inputs!T$20</f>
        <v>5817.75583802353</v>
      </c>
      <c r="Q8" s="54" t="n">
        <f aca="false">(Q$3+Q$4+Q$5)*Inputs!U$20</f>
        <v>6002.9191469678</v>
      </c>
      <c r="R8" s="54" t="n">
        <f aca="false">(R$3+R$4+R$5)*Inputs!V$20</f>
        <v>6198.80859577064</v>
      </c>
    </row>
    <row r="9" customFormat="false" ht="15" hidden="false" customHeight="false" outlineLevel="0" collapsed="false">
      <c r="A9" s="52" t="s">
        <v>32</v>
      </c>
      <c r="B9" s="52" t="s">
        <v>106</v>
      </c>
      <c r="C9" s="57" t="n">
        <v>544</v>
      </c>
      <c r="D9" s="57" t="n">
        <v>461</v>
      </c>
      <c r="E9" s="57" t="n">
        <v>672</v>
      </c>
      <c r="F9" s="53" t="n">
        <v>645</v>
      </c>
      <c r="G9" s="53" t="n">
        <v>750</v>
      </c>
      <c r="H9" s="75" t="n">
        <v>863</v>
      </c>
      <c r="I9" s="54" t="n">
        <f aca="false">(I$3+I$4+I$5)*Inputs!M$21</f>
        <v>793.481004658293</v>
      </c>
      <c r="J9" s="54" t="n">
        <f aca="false">(J$3+J$4+J$5)*Inputs!N$21</f>
        <v>814.920223685863</v>
      </c>
      <c r="K9" s="54" t="n">
        <f aca="false">(K$3+K$4+K$5)*Inputs!O$21</f>
        <v>837.428074453407</v>
      </c>
      <c r="L9" s="54" t="n">
        <f aca="false">(L$3+L$4+L$5)*Inputs!P$21</f>
        <v>861.083909507068</v>
      </c>
      <c r="M9" s="54" t="n">
        <f aca="false">(M$3+M$4+M$5)*Inputs!Q$21</f>
        <v>885.973762648363</v>
      </c>
      <c r="N9" s="54" t="n">
        <f aca="false">(N$3+N$4+N$5)*Inputs!R$21</f>
        <v>912.19092883433</v>
      </c>
      <c r="O9" s="54" t="n">
        <f aca="false">(O$3+O$4+O$5)*Inputs!S$21</f>
        <v>939.836594796456</v>
      </c>
      <c r="P9" s="54" t="n">
        <f aca="false">(P$3+P$4+P$5)*Inputs!T$21</f>
        <v>969.02052482432</v>
      </c>
      <c r="Q9" s="54" t="n">
        <f aca="false">(Q$3+Q$4+Q$5)*Inputs!U$21</f>
        <v>999.861806549946</v>
      </c>
      <c r="R9" s="54" t="n">
        <f aca="false">(R$3+R$4+R$5)*Inputs!V$21</f>
        <v>1032.48966199308</v>
      </c>
    </row>
    <row r="10" customFormat="false" ht="15" hidden="false" customHeight="false" outlineLevel="0" collapsed="false">
      <c r="A10" s="52" t="s">
        <v>112</v>
      </c>
      <c r="B10" s="52" t="s">
        <v>103</v>
      </c>
      <c r="C10" s="57" t="n">
        <v>3772</v>
      </c>
      <c r="D10" s="57" t="n">
        <v>3846</v>
      </c>
      <c r="E10" s="57" t="n">
        <v>4354</v>
      </c>
      <c r="F10" s="53" t="n">
        <v>4416</v>
      </c>
      <c r="G10" s="53" t="n">
        <v>5240</v>
      </c>
      <c r="H10" s="75" t="n">
        <v>5481</v>
      </c>
      <c r="I10" s="54" t="n">
        <f aca="false">H10*(1+Inputs!M$24/2)</f>
        <v>5626.20242522177</v>
      </c>
      <c r="J10" s="54" t="n">
        <f aca="false">I10*(1+Inputs!N$24/2)</f>
        <v>5775.25154708473</v>
      </c>
      <c r="K10" s="54" t="n">
        <f aca="false">J10*(1+Inputs!O$24/2)</f>
        <v>5928.24927211711</v>
      </c>
      <c r="L10" s="54" t="n">
        <f aca="false">K10*(1+Inputs!P$24/2)</f>
        <v>6085.30020655072</v>
      </c>
      <c r="M10" s="54" t="n">
        <f aca="false">L10*(1+Inputs!Q$24/2)</f>
        <v>6246.51172784131</v>
      </c>
      <c r="N10" s="54" t="n">
        <f aca="false">M10*(1+Inputs!R$24/2)</f>
        <v>6411.99405808375</v>
      </c>
      <c r="O10" s="54" t="n">
        <f aca="false">N10*(1+Inputs!S$24/2)</f>
        <v>6581.86033937209</v>
      </c>
      <c r="P10" s="54" t="n">
        <f aca="false">O10*(1+Inputs!T$24/2)</f>
        <v>6756.22671115604</v>
      </c>
      <c r="Q10" s="54" t="n">
        <f aca="false">P10*(1+Inputs!U$24/2)</f>
        <v>6935.21238964683</v>
      </c>
      <c r="R10" s="54" t="n">
        <f aca="false">Q10*(1+Inputs!V$24/2)</f>
        <v>7118.93974932659</v>
      </c>
    </row>
    <row r="11" customFormat="false" ht="15" hidden="false" customHeight="false" outlineLevel="0" collapsed="false">
      <c r="A11" s="58" t="s">
        <v>113</v>
      </c>
      <c r="B11" s="59" t="s">
        <v>110</v>
      </c>
      <c r="C11" s="56" t="n">
        <f aca="false">C6-C8-C9-C10</f>
        <v>7105</v>
      </c>
      <c r="D11" s="56" t="n">
        <f aca="false">D6-D8-D9-D10</f>
        <v>7218</v>
      </c>
      <c r="E11" s="56" t="n">
        <f aca="false">E6-E8-E9-E10</f>
        <v>7375</v>
      </c>
      <c r="F11" s="56" t="n">
        <f aca="false">F6-F8-F9-F10</f>
        <v>7631</v>
      </c>
      <c r="G11" s="56" t="n">
        <f aca="false">G6-G8-G9-G10</f>
        <v>7507</v>
      </c>
      <c r="H11" s="82" t="n">
        <f aca="false">H6-H8-H9-H10</f>
        <v>7693</v>
      </c>
      <c r="I11" s="56" t="n">
        <f aca="false">I6-I8-I9-I10</f>
        <v>7741.04200791934</v>
      </c>
      <c r="J11" s="56" t="n">
        <f aca="false">J6-J8-J9-J10</f>
        <v>7953.16508742571</v>
      </c>
      <c r="K11" s="56" t="n">
        <f aca="false">K6-K8-K9-K10</f>
        <v>8179.34208883054</v>
      </c>
      <c r="L11" s="56" t="n">
        <f aca="false">L6-L8-L9-L10</f>
        <v>8420.80520523867</v>
      </c>
      <c r="M11" s="56" t="n">
        <f aca="false">M6-M8-M9-M10</f>
        <v>8678.89641317718</v>
      </c>
      <c r="N11" s="56" t="n">
        <f aca="false">N6-N8-N9-N10</f>
        <v>8955.07716837058</v>
      </c>
      <c r="O11" s="56" t="n">
        <f aca="false">O6-O8-O9-O10</f>
        <v>9250.93895399652</v>
      </c>
      <c r="P11" s="56" t="n">
        <f aca="false">P6-P8-P9-P10</f>
        <v>9568.21475626832</v>
      </c>
      <c r="Q11" s="56" t="n">
        <f aca="false">Q6-Q8-Q9-Q10</f>
        <v>9908.79154875986</v>
      </c>
      <c r="R11" s="56" t="n">
        <f aca="false">R6-R8-R9-R10</f>
        <v>10274.7238740342</v>
      </c>
    </row>
    <row r="12" customFormat="false" ht="15" hidden="false" customHeight="false" outlineLevel="0" collapsed="false">
      <c r="A12" s="52" t="s">
        <v>114</v>
      </c>
      <c r="B12" s="52" t="s">
        <v>115</v>
      </c>
      <c r="C12" s="57" t="n">
        <v>1787</v>
      </c>
      <c r="D12" s="57" t="n">
        <v>1901</v>
      </c>
      <c r="E12" s="57" t="n">
        <v>1945</v>
      </c>
      <c r="F12" s="53" t="n">
        <v>2034</v>
      </c>
      <c r="G12" s="53" t="n">
        <v>2502</v>
      </c>
      <c r="H12" s="75" t="n">
        <v>3010</v>
      </c>
      <c r="I12" s="54" t="n">
        <f aca="false">I13*I62</f>
        <v>2617.77630096815</v>
      </c>
      <c r="J12" s="54" t="n">
        <f aca="false">J13*J62</f>
        <v>2696.3095899972</v>
      </c>
      <c r="K12" s="54" t="n">
        <f aca="false">K13*K62</f>
        <v>2777.19887769711</v>
      </c>
      <c r="L12" s="54" t="n">
        <f aca="false">L13*L62</f>
        <v>2860.51484402803</v>
      </c>
      <c r="M12" s="54" t="n">
        <f aca="false">M13*M62</f>
        <v>2946.33028934887</v>
      </c>
      <c r="N12" s="54" t="n">
        <f aca="false">N13*N62</f>
        <v>3034.72019802933</v>
      </c>
      <c r="O12" s="54" t="n">
        <f aca="false">O13*O62</f>
        <v>3125.76180397021</v>
      </c>
      <c r="P12" s="54" t="n">
        <f aca="false">P13*P62</f>
        <v>3219.53465808932</v>
      </c>
      <c r="Q12" s="54" t="n">
        <f aca="false">Q13*Q62</f>
        <v>3316.120697832</v>
      </c>
      <c r="R12" s="54" t="n">
        <f aca="false">R13*R62</f>
        <v>3415.60431876696</v>
      </c>
    </row>
    <row r="13" customFormat="false" ht="15" hidden="false" customHeight="false" outlineLevel="0" collapsed="false">
      <c r="A13" s="67" t="s">
        <v>138</v>
      </c>
      <c r="B13" s="52"/>
      <c r="C13" s="83" t="n">
        <f aca="false">C12/C62</f>
        <v>0.028252517746755</v>
      </c>
      <c r="D13" s="83" t="n">
        <f aca="false">D12/D62</f>
        <v>0.0287938686175611</v>
      </c>
      <c r="E13" s="83" t="n">
        <f aca="false">E12/E62</f>
        <v>0.0277805550397783</v>
      </c>
      <c r="F13" s="83" t="n">
        <f aca="false">F12/F62</f>
        <v>0.0270773982267898</v>
      </c>
      <c r="G13" s="83" t="n">
        <f aca="false">G12/G62</f>
        <v>0.031450205478782</v>
      </c>
      <c r="H13" s="83" t="n">
        <f aca="false">H12/H62</f>
        <v>0.0357258751165312</v>
      </c>
      <c r="I13" s="84" t="n">
        <f aca="false">AVERAGE($D$13:$H$13)</f>
        <v>0.0301655804958885</v>
      </c>
      <c r="J13" s="84" t="n">
        <f aca="false">AVERAGE($D$13:$H$13)</f>
        <v>0.0301655804958885</v>
      </c>
      <c r="K13" s="84" t="n">
        <f aca="false">AVERAGE($D$13:$H$13)</f>
        <v>0.0301655804958885</v>
      </c>
      <c r="L13" s="84" t="n">
        <f aca="false">AVERAGE($D$13:$H$13)</f>
        <v>0.0301655804958885</v>
      </c>
      <c r="M13" s="84" t="n">
        <f aca="false">AVERAGE($D$13:$H$13)</f>
        <v>0.0301655804958885</v>
      </c>
      <c r="N13" s="84" t="n">
        <f aca="false">AVERAGE($D$13:$H$13)</f>
        <v>0.0301655804958885</v>
      </c>
      <c r="O13" s="84" t="n">
        <f aca="false">AVERAGE($D$13:$H$13)</f>
        <v>0.0301655804958885</v>
      </c>
      <c r="P13" s="84" t="n">
        <f aca="false">AVERAGE($D$13:$H$13)</f>
        <v>0.0301655804958885</v>
      </c>
      <c r="Q13" s="84" t="n">
        <f aca="false">AVERAGE($D$13:$H$13)</f>
        <v>0.0301655804958885</v>
      </c>
      <c r="R13" s="84" t="n">
        <f aca="false">AVERAGE($D$13:$H$13)</f>
        <v>0.0301655804958885</v>
      </c>
    </row>
    <row r="14" customFormat="false" ht="15" hidden="false" customHeight="false" outlineLevel="0" collapsed="false">
      <c r="A14" s="52" t="s">
        <v>41</v>
      </c>
      <c r="B14" s="52" t="s">
        <v>106</v>
      </c>
      <c r="C14" s="57" t="n">
        <v>914</v>
      </c>
      <c r="D14" s="57" t="n">
        <v>934</v>
      </c>
      <c r="E14" s="57" t="n">
        <v>981</v>
      </c>
      <c r="F14" s="53" t="n">
        <v>997</v>
      </c>
      <c r="G14" s="53" t="n">
        <v>1113</v>
      </c>
      <c r="H14" s="75" t="n">
        <v>1250</v>
      </c>
      <c r="I14" s="54" t="n">
        <f aca="false">I11*Inputs!M$26</f>
        <v>992.209601155277</v>
      </c>
      <c r="J14" s="54" t="n">
        <f aca="false">J11*Inputs!N$26</f>
        <v>1019.39851911975</v>
      </c>
      <c r="K14" s="54" t="n">
        <f aca="false">K11*Inputs!O$26</f>
        <v>1048.38880132269</v>
      </c>
      <c r="L14" s="54" t="n">
        <f aca="false">L11*Inputs!P$26</f>
        <v>1079.33838436072</v>
      </c>
      <c r="M14" s="54" t="n">
        <f aca="false">M11*Inputs!Q$26</f>
        <v>1112.4192763425</v>
      </c>
      <c r="N14" s="54" t="n">
        <f aca="false">N11*Inputs!R$26</f>
        <v>1147.81879964658</v>
      </c>
      <c r="O14" s="54" t="n">
        <f aca="false">O11*Inputs!S$26</f>
        <v>1185.74094294624</v>
      </c>
      <c r="P14" s="54" t="n">
        <f aca="false">P11*Inputs!T$26</f>
        <v>1226.40783209453</v>
      </c>
      <c r="Q14" s="54" t="n">
        <f aca="false">Q11*Inputs!U$26</f>
        <v>1270.06133030511</v>
      </c>
      <c r="R14" s="54" t="n">
        <f aca="false">R11*Inputs!V$26</f>
        <v>1316.96477898022</v>
      </c>
    </row>
    <row r="15" customFormat="false" ht="15" hidden="false" customHeight="false" outlineLevel="0" collapsed="false">
      <c r="A15" s="55" t="s">
        <v>117</v>
      </c>
      <c r="B15" s="55" t="s">
        <v>110</v>
      </c>
      <c r="C15" s="56" t="n">
        <f aca="false">C8+C9+C10+C12+C14</f>
        <v>12074</v>
      </c>
      <c r="D15" s="56" t="n">
        <f aca="false">D8+D9+D10+D12+D14</f>
        <v>12652</v>
      </c>
      <c r="E15" s="56" t="n">
        <f aca="false">E8+E9+E10+E12+E14</f>
        <v>13957</v>
      </c>
      <c r="F15" s="56" t="n">
        <f aca="false">F8+F9+F10+F12+F14</f>
        <v>12842</v>
      </c>
      <c r="G15" s="56" t="n">
        <f aca="false">G8+G9+G10+G12+G14</f>
        <v>13966</v>
      </c>
      <c r="H15" s="82" t="n">
        <f aca="false">H8+H9+H10+H12+H14</f>
        <v>15004</v>
      </c>
      <c r="I15" s="56" t="n">
        <f aca="false">I8+I9+I10+I12+I14</f>
        <v>14793.5299819608</v>
      </c>
      <c r="J15" s="56" t="n">
        <f aca="false">J8+J9+J10+J12+J14</f>
        <v>15198.4562159062</v>
      </c>
      <c r="K15" s="56" t="n">
        <f aca="false">K8+K9+K10+K12+K14</f>
        <v>15618.9728442244</v>
      </c>
      <c r="L15" s="56" t="n">
        <f aca="false">L8+L9+L10+L12+L14</f>
        <v>16055.9688550057</v>
      </c>
      <c r="M15" s="56" t="n">
        <f aca="false">M8+M9+M10+M12+M14</f>
        <v>16510.3989933099</v>
      </c>
      <c r="N15" s="56" t="n">
        <f aca="false">N8+N9+N10+N12+N14</f>
        <v>16983.2892024258</v>
      </c>
      <c r="O15" s="56" t="n">
        <f aca="false">O8+O9+O10+O12+O14</f>
        <v>17475.7425334735</v>
      </c>
      <c r="P15" s="56" t="n">
        <f aca="false">P8+P9+P10+P12+P14</f>
        <v>17988.9455641877</v>
      </c>
      <c r="Q15" s="56" t="n">
        <f aca="false">Q8+Q9+Q10+Q12+Q14</f>
        <v>18524.1753713017</v>
      </c>
      <c r="R15" s="56" t="n">
        <f aca="false">R8+R9+R10+R12+R14</f>
        <v>19082.8071048375</v>
      </c>
    </row>
    <row r="16" customFormat="false" ht="15" hidden="false" customHeight="false" outlineLevel="0" collapsed="false">
      <c r="A16" s="51" t="s">
        <v>139</v>
      </c>
      <c r="B16" s="60" t="s">
        <v>110</v>
      </c>
      <c r="C16" s="53" t="n">
        <f aca="false">C6-C15</f>
        <v>4404</v>
      </c>
      <c r="D16" s="53" t="n">
        <f aca="false">D6-D15</f>
        <v>4383</v>
      </c>
      <c r="E16" s="53" t="n">
        <f aca="false">E6-E15</f>
        <v>4449</v>
      </c>
      <c r="F16" s="53" t="n">
        <f aca="false">F6-F15</f>
        <v>4600</v>
      </c>
      <c r="G16" s="53" t="n">
        <f aca="false">G6-G15</f>
        <v>3892</v>
      </c>
      <c r="H16" s="85" t="n">
        <f aca="false">H6-H15</f>
        <v>3433</v>
      </c>
      <c r="I16" s="53" t="n">
        <f aca="false">I6-I15</f>
        <v>4131.05610579591</v>
      </c>
      <c r="J16" s="53" t="n">
        <f aca="false">J6-J15</f>
        <v>4237.45697830877</v>
      </c>
      <c r="K16" s="53" t="n">
        <f aca="false">K6-K15</f>
        <v>4353.75440981074</v>
      </c>
      <c r="L16" s="53" t="n">
        <f aca="false">L6-L15</f>
        <v>4480.95197684992</v>
      </c>
      <c r="M16" s="53" t="n">
        <f aca="false">M6-M15</f>
        <v>4620.14684748582</v>
      </c>
      <c r="N16" s="53" t="n">
        <f aca="false">N6-N15</f>
        <v>4772.53817069467</v>
      </c>
      <c r="O16" s="53" t="n">
        <f aca="false">O6-O15</f>
        <v>4939.43620708007</v>
      </c>
      <c r="P16" s="53" t="n">
        <f aca="false">P6-P15</f>
        <v>5122.27226608447</v>
      </c>
      <c r="Q16" s="53" t="n">
        <f aca="false">Q6-Q15</f>
        <v>5322.60952062275</v>
      </c>
      <c r="R16" s="53" t="n">
        <f aca="false">R6-R15</f>
        <v>5542.15477628703</v>
      </c>
    </row>
    <row r="17" customFormat="false" ht="15" hidden="false" customHeight="false" outlineLevel="0" collapsed="false">
      <c r="H17" s="0"/>
    </row>
    <row r="18" customFormat="false" ht="13.8" hidden="false" customHeight="false" outlineLevel="0" collapsed="false">
      <c r="C18" s="70" t="n">
        <f aca="false">C16+C21</f>
        <v>3545</v>
      </c>
      <c r="D18" s="70" t="n">
        <f aca="false">D16+D21</f>
        <v>3559</v>
      </c>
      <c r="E18" s="70" t="n">
        <f aca="false">E16+E21</f>
        <v>3614</v>
      </c>
      <c r="F18" s="70" t="n">
        <f aca="false">F16+F21</f>
        <v>3760</v>
      </c>
      <c r="G18" s="70" t="n">
        <f aca="false">G16+G21</f>
        <v>3052.5</v>
      </c>
      <c r="H18" s="70" t="n">
        <f aca="false">H16+H21</f>
        <v>2593</v>
      </c>
    </row>
    <row r="19" customFormat="false" ht="15" hidden="false" customHeight="false" outlineLevel="0" collapsed="false">
      <c r="A19" s="51" t="s">
        <v>119</v>
      </c>
      <c r="B19" s="51"/>
      <c r="F19" s="53"/>
      <c r="G19" s="53"/>
      <c r="H19" s="75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customFormat="false" ht="15" hidden="false" customHeight="false" outlineLevel="0" collapsed="false">
      <c r="A20" s="52" t="s">
        <v>120</v>
      </c>
      <c r="B20" s="52" t="s">
        <v>115</v>
      </c>
      <c r="C20" s="53" t="n">
        <v>143</v>
      </c>
      <c r="D20" s="53" t="n">
        <v>190</v>
      </c>
      <c r="E20" s="53" t="n">
        <v>245</v>
      </c>
      <c r="F20" s="53" t="n">
        <v>226</v>
      </c>
      <c r="G20" s="53" t="n">
        <v>202</v>
      </c>
      <c r="H20" s="75" t="n">
        <v>160</v>
      </c>
      <c r="I20" s="54" t="n">
        <f aca="false">H20</f>
        <v>160</v>
      </c>
      <c r="J20" s="54" t="n">
        <f aca="false">I20</f>
        <v>160</v>
      </c>
      <c r="K20" s="54" t="n">
        <f aca="false">J20</f>
        <v>160</v>
      </c>
      <c r="L20" s="54" t="n">
        <f aca="false">K20</f>
        <v>160</v>
      </c>
      <c r="M20" s="54" t="n">
        <f aca="false">L20</f>
        <v>160</v>
      </c>
      <c r="N20" s="54" t="n">
        <f aca="false">M20</f>
        <v>160</v>
      </c>
      <c r="O20" s="54" t="n">
        <f aca="false">N20</f>
        <v>160</v>
      </c>
      <c r="P20" s="54" t="n">
        <f aca="false">O20</f>
        <v>160</v>
      </c>
      <c r="Q20" s="54" t="n">
        <f aca="false">P20</f>
        <v>160</v>
      </c>
      <c r="R20" s="54" t="n">
        <f aca="false">Q20</f>
        <v>160</v>
      </c>
    </row>
    <row r="21" customFormat="false" ht="15" hidden="false" customHeight="false" outlineLevel="0" collapsed="false">
      <c r="A21" s="52" t="s">
        <v>121</v>
      </c>
      <c r="B21" s="52" t="s">
        <v>115</v>
      </c>
      <c r="C21" s="53" t="n">
        <v>-859</v>
      </c>
      <c r="D21" s="53" t="n">
        <v>-824</v>
      </c>
      <c r="E21" s="53" t="n">
        <v>-835</v>
      </c>
      <c r="F21" s="53" t="n">
        <v>-840</v>
      </c>
      <c r="G21" s="53" t="n">
        <f aca="false">AVERAGE($C$21:$F$21)</f>
        <v>-839.5</v>
      </c>
      <c r="H21" s="85" t="n">
        <f aca="false">_xlfn.FLOOR.MATH(AVERAGE($C$21:$F$21))</f>
        <v>-840</v>
      </c>
      <c r="I21" s="54" t="n">
        <f aca="false">H21*(1.01)</f>
        <v>-848.4</v>
      </c>
      <c r="J21" s="54" t="n">
        <f aca="false">I21*(1.01)</f>
        <v>-856.884</v>
      </c>
      <c r="K21" s="54" t="n">
        <f aca="false">J21*(1.01)</f>
        <v>-865.45284</v>
      </c>
      <c r="L21" s="54" t="n">
        <f aca="false">K21*(1.01)</f>
        <v>-874.1073684</v>
      </c>
      <c r="M21" s="54" t="n">
        <f aca="false">L21*(1.01)</f>
        <v>-882.848442084</v>
      </c>
      <c r="N21" s="54" t="n">
        <f aca="false">M21*(1.01)</f>
        <v>-891.67692650484</v>
      </c>
      <c r="O21" s="54" t="n">
        <f aca="false">N21*(1.01)</f>
        <v>-900.593695769888</v>
      </c>
      <c r="P21" s="54" t="n">
        <f aca="false">O21*(1.01)</f>
        <v>-909.599632727587</v>
      </c>
      <c r="Q21" s="54" t="n">
        <f aca="false">P21*(1.01)</f>
        <v>-918.695629054863</v>
      </c>
      <c r="R21" s="54" t="n">
        <f aca="false">Q21*(1.01)</f>
        <v>-927.882585345412</v>
      </c>
    </row>
    <row r="22" customFormat="false" ht="15" hidden="false" customHeight="false" outlineLevel="0" collapsed="false">
      <c r="A22" s="55" t="s">
        <v>123</v>
      </c>
      <c r="B22" s="55" t="s">
        <v>110</v>
      </c>
      <c r="C22" s="56" t="n">
        <f aca="false">C20+C21</f>
        <v>-716</v>
      </c>
      <c r="D22" s="56" t="n">
        <f aca="false">D20+D21</f>
        <v>-634</v>
      </c>
      <c r="E22" s="56" t="n">
        <f aca="false">E20+E21</f>
        <v>-590</v>
      </c>
      <c r="F22" s="56" t="n">
        <f aca="false">F20+F21</f>
        <v>-614</v>
      </c>
      <c r="G22" s="56" t="n">
        <f aca="false">G20+G21</f>
        <v>-637.5</v>
      </c>
      <c r="H22" s="86" t="n">
        <f aca="false">H20+H21</f>
        <v>-680</v>
      </c>
      <c r="I22" s="56" t="n">
        <f aca="false">I20+I21</f>
        <v>-688.4</v>
      </c>
      <c r="J22" s="56" t="n">
        <f aca="false">J20+J21</f>
        <v>-696.884</v>
      </c>
      <c r="K22" s="56" t="n">
        <f aca="false">K20+K21</f>
        <v>-705.45284</v>
      </c>
      <c r="L22" s="56" t="n">
        <f aca="false">L20+L21</f>
        <v>-714.1073684</v>
      </c>
      <c r="M22" s="56" t="n">
        <f aca="false">M20+M21</f>
        <v>-722.848442084</v>
      </c>
      <c r="N22" s="56" t="n">
        <f aca="false">N20+N21</f>
        <v>-731.67692650484</v>
      </c>
      <c r="O22" s="56" t="n">
        <f aca="false">O20+O21</f>
        <v>-740.593695769888</v>
      </c>
      <c r="P22" s="56" t="n">
        <f aca="false">P20+P21</f>
        <v>-749.599632727587</v>
      </c>
      <c r="Q22" s="56" t="n">
        <f aca="false">Q20+Q21</f>
        <v>-758.695629054863</v>
      </c>
      <c r="R22" s="56" t="n">
        <f aca="false">R20+R21</f>
        <v>-767.882585345412</v>
      </c>
    </row>
    <row r="23" customFormat="false" ht="13.8" hidden="false" customHeight="false" outlineLevel="0" collapsed="false">
      <c r="A23" s="51" t="s">
        <v>124</v>
      </c>
      <c r="B23" s="60" t="s">
        <v>110</v>
      </c>
      <c r="C23" s="53" t="n">
        <f aca="false">C16+C22</f>
        <v>3688</v>
      </c>
      <c r="D23" s="53" t="n">
        <f aca="false">D16+D22</f>
        <v>3749</v>
      </c>
      <c r="E23" s="53" t="n">
        <f aca="false">E16+E22</f>
        <v>3859</v>
      </c>
      <c r="F23" s="53" t="n">
        <f aca="false">F16+F22</f>
        <v>3986</v>
      </c>
      <c r="G23" s="53" t="n">
        <f aca="false">G16+G22</f>
        <v>3254.5</v>
      </c>
      <c r="H23" s="85" t="n">
        <f aca="false">H16+H22</f>
        <v>2753</v>
      </c>
      <c r="I23" s="53" t="n">
        <f aca="false">I16+I22</f>
        <v>3442.65610579591</v>
      </c>
      <c r="J23" s="53" t="n">
        <f aca="false">J16+J22</f>
        <v>3540.57297830877</v>
      </c>
      <c r="K23" s="53" t="n">
        <f aca="false">K16+K22</f>
        <v>3648.30156981074</v>
      </c>
      <c r="L23" s="53" t="n">
        <f aca="false">L16+L22</f>
        <v>3766.84460844992</v>
      </c>
      <c r="M23" s="53" t="n">
        <f aca="false">M16+M22</f>
        <v>3897.29840540182</v>
      </c>
      <c r="N23" s="53" t="n">
        <f aca="false">N16+N22</f>
        <v>4040.86124418983</v>
      </c>
      <c r="O23" s="53" t="n">
        <f aca="false">O16+O22</f>
        <v>4198.84251131019</v>
      </c>
      <c r="P23" s="53" t="n">
        <f aca="false">P16+P22</f>
        <v>4372.67263335689</v>
      </c>
      <c r="Q23" s="53" t="n">
        <f aca="false">Q16+Q22</f>
        <v>4563.91389156788</v>
      </c>
      <c r="R23" s="53" t="n">
        <f aca="false">R16+R22</f>
        <v>4774.27219094161</v>
      </c>
    </row>
    <row r="24" customFormat="false" ht="15" hidden="false" customHeight="false" outlineLevel="0" collapsed="false">
      <c r="A24" s="63" t="s">
        <v>47</v>
      </c>
      <c r="B24" s="63" t="s">
        <v>106</v>
      </c>
      <c r="C24" s="63" t="n">
        <v>1334</v>
      </c>
      <c r="D24" s="63" t="n">
        <v>849</v>
      </c>
      <c r="E24" s="63" t="n">
        <v>977</v>
      </c>
      <c r="F24" s="57" t="n">
        <v>1194</v>
      </c>
      <c r="G24" s="57" t="n">
        <v>951</v>
      </c>
      <c r="H24" s="75" t="n">
        <v>142</v>
      </c>
      <c r="I24" s="54" t="n">
        <f aca="false">I23*Inputs!M$30</f>
        <v>1154.5078359519</v>
      </c>
      <c r="J24" s="54" t="n">
        <f aca="false">J23*Inputs!N$30</f>
        <v>1187.34463205177</v>
      </c>
      <c r="K24" s="54" t="n">
        <f aca="false">K23*Inputs!O$30</f>
        <v>1223.4718254812</v>
      </c>
      <c r="L24" s="54" t="n">
        <f aca="false">L23*Inputs!P$30</f>
        <v>1263.22568494339</v>
      </c>
      <c r="M24" s="54" t="n">
        <f aca="false">M23*Inputs!Q$30</f>
        <v>1306.97386256621</v>
      </c>
      <c r="N24" s="54" t="n">
        <f aca="false">N23*Inputs!R$30</f>
        <v>1355.11820729272</v>
      </c>
      <c r="O24" s="54" t="n">
        <f aca="false">O23*Inputs!S$30</f>
        <v>1408.09782687105</v>
      </c>
      <c r="P24" s="54" t="n">
        <f aca="false">P23*Inputs!T$30</f>
        <v>1466.39242030706</v>
      </c>
      <c r="Q24" s="54" t="n">
        <f aca="false">Q23*Inputs!U$30</f>
        <v>1530.52590456365</v>
      </c>
      <c r="R24" s="54" t="n">
        <f aca="false">R23*Inputs!V$30</f>
        <v>1601.07036137872</v>
      </c>
    </row>
    <row r="25" customFormat="false" ht="15" hidden="false" customHeight="false" outlineLevel="0" collapsed="false">
      <c r="A25" s="64" t="s">
        <v>140</v>
      </c>
      <c r="B25" s="65" t="s">
        <v>110</v>
      </c>
      <c r="C25" s="66" t="n">
        <f aca="false">C23-C24</f>
        <v>2354</v>
      </c>
      <c r="D25" s="66" t="n">
        <f aca="false">D23-D24</f>
        <v>2900</v>
      </c>
      <c r="E25" s="66" t="n">
        <f aca="false">E23-E24</f>
        <v>2882</v>
      </c>
      <c r="F25" s="66" t="n">
        <f aca="false">F23-F24</f>
        <v>2792</v>
      </c>
      <c r="G25" s="66" t="n">
        <f aca="false">G23-G24</f>
        <v>2303.5</v>
      </c>
      <c r="H25" s="87" t="n">
        <f aca="false">H23-H24</f>
        <v>2611</v>
      </c>
      <c r="I25" s="66" t="n">
        <f aca="false">I23-I24</f>
        <v>2288.14826984401</v>
      </c>
      <c r="J25" s="66" t="n">
        <f aca="false">J23-J24</f>
        <v>2353.228346257</v>
      </c>
      <c r="K25" s="66" t="n">
        <f aca="false">K23-K24</f>
        <v>2424.82974432954</v>
      </c>
      <c r="L25" s="66" t="n">
        <f aca="false">L23-L24</f>
        <v>2503.61892350653</v>
      </c>
      <c r="M25" s="66" t="n">
        <f aca="false">M23-M24</f>
        <v>2590.3245428356</v>
      </c>
      <c r="N25" s="66" t="n">
        <f aca="false">N23-N24</f>
        <v>2685.74303689711</v>
      </c>
      <c r="O25" s="66" t="n">
        <f aca="false">O23-O24</f>
        <v>2790.74468443914</v>
      </c>
      <c r="P25" s="66" t="n">
        <f aca="false">P23-P24</f>
        <v>2906.28021304982</v>
      </c>
      <c r="Q25" s="66" t="n">
        <f aca="false">Q23-Q24</f>
        <v>3033.38798700424</v>
      </c>
      <c r="R25" s="66" t="n">
        <f aca="false">R23-R24</f>
        <v>3173.20182956289</v>
      </c>
    </row>
    <row r="26" customFormat="false" ht="15" hidden="false" customHeight="false" outlineLevel="0" collapsed="false">
      <c r="A26" s="52"/>
      <c r="B26" s="52"/>
      <c r="F26" s="53"/>
      <c r="G26" s="53"/>
      <c r="H26" s="75"/>
      <c r="I26" s="54"/>
      <c r="J26" s="54"/>
      <c r="K26" s="54"/>
      <c r="L26" s="54"/>
      <c r="M26" s="54"/>
      <c r="N26" s="54"/>
      <c r="O26" s="54"/>
      <c r="P26" s="54"/>
      <c r="Q26" s="54"/>
      <c r="R26" s="54"/>
    </row>
    <row r="27" customFormat="false" ht="15" hidden="false" customHeight="false" outlineLevel="0" collapsed="false">
      <c r="A27" s="67" t="s">
        <v>141</v>
      </c>
      <c r="B27" s="67"/>
      <c r="C27" s="53" t="n">
        <f aca="false">C11-C12</f>
        <v>5318</v>
      </c>
      <c r="D27" s="53" t="n">
        <f aca="false">D11-D12</f>
        <v>5317</v>
      </c>
      <c r="E27" s="53" t="n">
        <f aca="false">E11-E12</f>
        <v>5430</v>
      </c>
      <c r="F27" s="53" t="n">
        <f aca="false">F11-F12</f>
        <v>5597</v>
      </c>
      <c r="G27" s="53" t="n">
        <f aca="false">G11-G12</f>
        <v>5005</v>
      </c>
      <c r="H27" s="75" t="n">
        <f aca="false">H11-H12</f>
        <v>4683</v>
      </c>
      <c r="I27" s="53" t="n">
        <f aca="false">I11-I12</f>
        <v>5123.26570695118</v>
      </c>
      <c r="J27" s="53" t="n">
        <f aca="false">J11-J12</f>
        <v>5256.85549742852</v>
      </c>
      <c r="K27" s="53" t="n">
        <f aca="false">K11-K12</f>
        <v>5402.14321113343</v>
      </c>
      <c r="L27" s="53" t="n">
        <f aca="false">L11-L12</f>
        <v>5560.29036121065</v>
      </c>
      <c r="M27" s="53" t="n">
        <f aca="false">M11-M12</f>
        <v>5732.56612382831</v>
      </c>
      <c r="N27" s="53" t="n">
        <f aca="false">N11-N12</f>
        <v>5920.35697034125</v>
      </c>
      <c r="O27" s="53" t="n">
        <f aca="false">O11-O12</f>
        <v>6125.17715002631</v>
      </c>
      <c r="P27" s="53" t="n">
        <f aca="false">P11-P12</f>
        <v>6348.68009817901</v>
      </c>
      <c r="Q27" s="53" t="n">
        <f aca="false">Q11-Q12</f>
        <v>6592.67085092786</v>
      </c>
      <c r="R27" s="53" t="n">
        <f aca="false">R11-R12</f>
        <v>6859.11955526725</v>
      </c>
    </row>
    <row r="28" customFormat="false" ht="15" hidden="false" customHeight="false" outlineLevel="0" collapsed="false">
      <c r="A28" s="60" t="s">
        <v>142</v>
      </c>
      <c r="C28" s="70" t="n">
        <f aca="false">-C14-C24</f>
        <v>-2248</v>
      </c>
      <c r="D28" s="70" t="n">
        <f aca="false">-D14-D24</f>
        <v>-1783</v>
      </c>
      <c r="E28" s="70" t="n">
        <f aca="false">-E14-E24</f>
        <v>-1958</v>
      </c>
      <c r="F28" s="70" t="n">
        <f aca="false">-F14-F24</f>
        <v>-2191</v>
      </c>
      <c r="G28" s="70" t="n">
        <f aca="false">-G14-G24</f>
        <v>-2064</v>
      </c>
      <c r="H28" s="88" t="n">
        <f aca="false">-H14-H24</f>
        <v>-1392</v>
      </c>
      <c r="I28" s="70" t="n">
        <f aca="false">-I14-I24</f>
        <v>-2146.71743710717</v>
      </c>
      <c r="J28" s="70" t="n">
        <f aca="false">-J14-J24</f>
        <v>-2206.74315117152</v>
      </c>
      <c r="K28" s="70" t="n">
        <f aca="false">-K14-K24</f>
        <v>-2271.86062680389</v>
      </c>
      <c r="L28" s="70" t="n">
        <f aca="false">-L14-L24</f>
        <v>-2342.56406930412</v>
      </c>
      <c r="M28" s="70" t="n">
        <f aca="false">-M14-M24</f>
        <v>-2419.39313890871</v>
      </c>
      <c r="N28" s="70" t="n">
        <f aca="false">-N14-N24</f>
        <v>-2502.9370069393</v>
      </c>
      <c r="O28" s="70" t="n">
        <f aca="false">-O14-O24</f>
        <v>-2593.83876981728</v>
      </c>
      <c r="P28" s="70" t="n">
        <f aca="false">-P14-P24</f>
        <v>-2692.80025240159</v>
      </c>
      <c r="Q28" s="70" t="n">
        <f aca="false">-Q14-Q24</f>
        <v>-2800.58723486876</v>
      </c>
      <c r="R28" s="70" t="n">
        <f aca="false">-R14-R24</f>
        <v>-2918.03514035894</v>
      </c>
    </row>
    <row r="29" customFormat="false" ht="15" hidden="false" customHeight="false" outlineLevel="0" collapsed="false">
      <c r="A29" s="60" t="s">
        <v>143</v>
      </c>
      <c r="C29" s="70" t="n">
        <f aca="false">C12</f>
        <v>1787</v>
      </c>
      <c r="D29" s="70" t="n">
        <f aca="false">D12</f>
        <v>1901</v>
      </c>
      <c r="E29" s="70" t="n">
        <f aca="false">E12</f>
        <v>1945</v>
      </c>
      <c r="F29" s="70" t="n">
        <f aca="false">F12</f>
        <v>2034</v>
      </c>
      <c r="G29" s="70" t="n">
        <f aca="false">G12</f>
        <v>2502</v>
      </c>
      <c r="H29" s="88" t="n">
        <f aca="false">H12</f>
        <v>3010</v>
      </c>
      <c r="I29" s="70" t="n">
        <f aca="false">I12</f>
        <v>2617.77630096815</v>
      </c>
      <c r="J29" s="70" t="n">
        <f aca="false">J12</f>
        <v>2696.3095899972</v>
      </c>
      <c r="K29" s="70" t="n">
        <f aca="false">K12</f>
        <v>2777.19887769711</v>
      </c>
      <c r="L29" s="70" t="n">
        <f aca="false">L12</f>
        <v>2860.51484402803</v>
      </c>
      <c r="M29" s="70" t="n">
        <f aca="false">M12</f>
        <v>2946.33028934887</v>
      </c>
      <c r="N29" s="70" t="n">
        <f aca="false">N12</f>
        <v>3034.72019802933</v>
      </c>
      <c r="O29" s="70" t="n">
        <f aca="false">O12</f>
        <v>3125.76180397021</v>
      </c>
      <c r="P29" s="70" t="n">
        <f aca="false">P12</f>
        <v>3219.53465808932</v>
      </c>
      <c r="Q29" s="70" t="n">
        <f aca="false">Q12</f>
        <v>3316.120697832</v>
      </c>
      <c r="R29" s="70" t="n">
        <f aca="false">R12</f>
        <v>3415.60431876696</v>
      </c>
    </row>
    <row r="30" customFormat="false" ht="15" hidden="false" customHeight="false" outlineLevel="0" collapsed="false">
      <c r="A30" s="60" t="s">
        <v>144</v>
      </c>
      <c r="C30" s="70" t="n">
        <f aca="false">-(D66-C66)</f>
        <v>-1675</v>
      </c>
      <c r="D30" s="70" t="n">
        <f aca="false">-(D66-C66)</f>
        <v>-1675</v>
      </c>
      <c r="E30" s="70" t="n">
        <f aca="false">-(E66-D66)</f>
        <v>-2992</v>
      </c>
      <c r="F30" s="70" t="n">
        <f aca="false">AVERAGE(E30,G30)</f>
        <v>-2340.66459894009</v>
      </c>
      <c r="G30" s="70" t="n">
        <f aca="false">-(G66-F66)</f>
        <v>-1689.32919788019</v>
      </c>
      <c r="H30" s="88" t="n">
        <f aca="false">-(H66-G66)</f>
        <v>-2698.33053912947</v>
      </c>
      <c r="I30" s="70" t="n">
        <f aca="false">-(I66-H66)</f>
        <v>-1926.6359441388</v>
      </c>
      <c r="J30" s="70" t="n">
        <f aca="false">-(J66-I66)</f>
        <v>-1715.37887043446</v>
      </c>
      <c r="K30" s="70" t="n">
        <f aca="false">-(K66-J66)</f>
        <v>-1766.84023654748</v>
      </c>
      <c r="L30" s="70" t="n">
        <f aca="false">-(L66-K66)</f>
        <v>-1819.84544364391</v>
      </c>
      <c r="M30" s="70" t="n">
        <f aca="false">-(M66-L66)</f>
        <v>-1874.44080695322</v>
      </c>
      <c r="N30" s="70" t="n">
        <f aca="false">-(N66-M66)</f>
        <v>-1930.67403116183</v>
      </c>
      <c r="O30" s="70" t="n">
        <f aca="false">-(O66-N66)</f>
        <v>-1988.59425209669</v>
      </c>
      <c r="P30" s="70" t="n">
        <f aca="false">-(P66-O66)</f>
        <v>-2048.25207965958</v>
      </c>
      <c r="Q30" s="70" t="n">
        <f aca="false">-(Q66-P66)</f>
        <v>-2109.69964204937</v>
      </c>
      <c r="R30" s="70" t="n">
        <f aca="false">-(R66-Q66)</f>
        <v>-2172.99063131084</v>
      </c>
    </row>
    <row r="31" customFormat="false" ht="15" hidden="false" customHeight="false" outlineLevel="0" collapsed="false">
      <c r="A31" s="60" t="s">
        <v>145</v>
      </c>
      <c r="H31" s="0"/>
    </row>
    <row r="32" customFormat="false" ht="15" hidden="false" customHeight="false" outlineLevel="0" collapsed="false">
      <c r="A32" s="0" t="s">
        <v>146</v>
      </c>
      <c r="C32" s="70" t="n">
        <f aca="false">C27+C28+C29+C30</f>
        <v>3182</v>
      </c>
      <c r="D32" s="70" t="n">
        <f aca="false">D27+D28+D29+D30</f>
        <v>3760</v>
      </c>
      <c r="E32" s="70" t="n">
        <f aca="false">E27+E28+E29+E30</f>
        <v>2425</v>
      </c>
      <c r="F32" s="70" t="n">
        <f aca="false">F27+F28+F29+F30</f>
        <v>3099.33540105991</v>
      </c>
      <c r="G32" s="70" t="n">
        <f aca="false">G27+G28+G29+G30</f>
        <v>3753.67080211981</v>
      </c>
      <c r="H32" s="88" t="n">
        <f aca="false">H27+H28+H29+H30</f>
        <v>3602.66946087053</v>
      </c>
      <c r="I32" s="70" t="n">
        <f aca="false">I27+I28+I29+I30</f>
        <v>3667.68862667336</v>
      </c>
      <c r="J32" s="70" t="n">
        <f aca="false">J27+J28+J29+J30</f>
        <v>4031.04306581974</v>
      </c>
      <c r="K32" s="70" t="n">
        <f aca="false">K27+K28+K29+K30</f>
        <v>4140.64122547917</v>
      </c>
      <c r="L32" s="70" t="n">
        <f aca="false">L27+L28+L29+L30</f>
        <v>4258.39569229064</v>
      </c>
      <c r="M32" s="70" t="n">
        <f aca="false">M27+M28+M29+M30</f>
        <v>4385.06246731525</v>
      </c>
      <c r="N32" s="70" t="n">
        <f aca="false">N27+N28+N29+N30</f>
        <v>4521.46613026945</v>
      </c>
      <c r="O32" s="70" t="n">
        <f aca="false">O27+O28+O29+O30</f>
        <v>4668.50593208255</v>
      </c>
      <c r="P32" s="70" t="n">
        <f aca="false">P27+P28+P29+P30</f>
        <v>4827.16242420716</v>
      </c>
      <c r="Q32" s="70" t="n">
        <f aca="false">Q27+Q28+Q29+Q30</f>
        <v>4998.50467184174</v>
      </c>
      <c r="R32" s="70" t="n">
        <f aca="false">R27+R28+R29+R30</f>
        <v>5183.69810236442</v>
      </c>
    </row>
    <row r="33" customFormat="false" ht="15" hidden="false" customHeight="false" outlineLevel="0" collapsed="false">
      <c r="A33" s="0" t="s">
        <v>147</v>
      </c>
      <c r="C33" s="54" t="n">
        <f aca="false">'Cash Flow Statement'!B60</f>
        <v>-1693</v>
      </c>
      <c r="D33" s="54" t="n">
        <f aca="false">'Cash Flow Statement'!C60</f>
        <v>-1762</v>
      </c>
      <c r="E33" s="54" t="n">
        <f aca="false">'Cash Flow Statement'!D60</f>
        <v>-1866</v>
      </c>
      <c r="F33" s="54" t="n">
        <f aca="false">'Cash Flow Statement'!E60</f>
        <v>-1959</v>
      </c>
      <c r="G33" s="54" t="n">
        <f aca="false">'Cash Flow Statement'!F60</f>
        <v>-2104</v>
      </c>
      <c r="H33" s="89" t="n">
        <f aca="false">'Cash Flow Statement'!G60</f>
        <v>-2300</v>
      </c>
      <c r="I33" s="54" t="n">
        <f aca="false">-I40*I42</f>
        <v>-2369</v>
      </c>
      <c r="J33" s="54" t="n">
        <f aca="false">-J40*J42</f>
        <v>-2440.07</v>
      </c>
      <c r="K33" s="54" t="n">
        <f aca="false">-K40*K42</f>
        <v>-2513.2721</v>
      </c>
      <c r="L33" s="54" t="n">
        <f aca="false">-L40*L42</f>
        <v>-2588.670263</v>
      </c>
      <c r="M33" s="54" t="n">
        <f aca="false">-M40*M42</f>
        <v>-2666.33037089</v>
      </c>
      <c r="N33" s="54" t="n">
        <f aca="false">-N40*N42</f>
        <v>-2746.3202820167</v>
      </c>
      <c r="O33" s="54" t="n">
        <f aca="false">-O40*O42</f>
        <v>-2828.7098904772</v>
      </c>
      <c r="P33" s="54" t="n">
        <f aca="false">-P40*P42</f>
        <v>-2913.57118719152</v>
      </c>
      <c r="Q33" s="54" t="n">
        <f aca="false">-Q40*Q42</f>
        <v>-3000.97832280726</v>
      </c>
      <c r="R33" s="54" t="n">
        <f aca="false">-R40*R42</f>
        <v>-3091.00767249148</v>
      </c>
    </row>
    <row r="34" customFormat="false" ht="15" hidden="false" customHeight="false" outlineLevel="0" collapsed="false">
      <c r="H34" s="0"/>
    </row>
    <row r="35" customFormat="false" ht="15" hidden="false" customHeight="false" outlineLevel="0" collapsed="false">
      <c r="C35" s="90" t="n">
        <v>0</v>
      </c>
      <c r="D35" s="90" t="n">
        <v>1</v>
      </c>
      <c r="E35" s="90" t="n">
        <v>2</v>
      </c>
      <c r="F35" s="90" t="n">
        <v>3</v>
      </c>
      <c r="G35" s="90" t="n">
        <v>4</v>
      </c>
      <c r="H35" s="90" t="n">
        <v>5</v>
      </c>
      <c r="I35" s="90" t="n">
        <v>6</v>
      </c>
      <c r="J35" s="90" t="n">
        <v>7</v>
      </c>
      <c r="K35" s="90" t="n">
        <v>8</v>
      </c>
      <c r="L35" s="90" t="n">
        <v>9</v>
      </c>
      <c r="M35" s="90" t="n">
        <v>10</v>
      </c>
      <c r="N35" s="90" t="n">
        <v>11</v>
      </c>
      <c r="O35" s="90" t="n">
        <v>12</v>
      </c>
      <c r="P35" s="90" t="n">
        <v>13</v>
      </c>
      <c r="Q35" s="90" t="n">
        <v>14</v>
      </c>
      <c r="R35" s="90" t="n">
        <v>15</v>
      </c>
    </row>
    <row r="36" customFormat="false" ht="15" hidden="false" customHeight="false" outlineLevel="0" collapsed="false">
      <c r="A36" s="0" t="s">
        <v>148</v>
      </c>
      <c r="C36" s="70" t="n">
        <f aca="false">C32+C33</f>
        <v>1489</v>
      </c>
      <c r="D36" s="70" t="n">
        <f aca="false">D32+D33</f>
        <v>1998</v>
      </c>
      <c r="E36" s="70" t="n">
        <f aca="false">E32+E33</f>
        <v>559</v>
      </c>
      <c r="F36" s="70" t="n">
        <f aca="false">F32+F33</f>
        <v>1140.33540105991</v>
      </c>
      <c r="G36" s="70" t="n">
        <f aca="false">G32+G33</f>
        <v>1649.67080211981</v>
      </c>
      <c r="H36" s="88" t="n">
        <f aca="false">H32+H33</f>
        <v>1302.66946087053</v>
      </c>
      <c r="I36" s="70" t="n">
        <f aca="false">I32+I33</f>
        <v>1298.68862667336</v>
      </c>
      <c r="J36" s="70" t="n">
        <f aca="false">J32+J33</f>
        <v>1590.97306581974</v>
      </c>
      <c r="K36" s="70" t="n">
        <f aca="false">K32+K33</f>
        <v>1627.36912547917</v>
      </c>
      <c r="L36" s="70" t="n">
        <f aca="false">L32+L33</f>
        <v>1669.72542929064</v>
      </c>
      <c r="M36" s="70" t="n">
        <f aca="false">M32+M33</f>
        <v>1718.73209642525</v>
      </c>
      <c r="N36" s="70" t="n">
        <f aca="false">N32+N33</f>
        <v>1775.14584825275</v>
      </c>
      <c r="O36" s="70" t="n">
        <f aca="false">O32+O33</f>
        <v>1839.79604160535</v>
      </c>
      <c r="P36" s="70" t="n">
        <f aca="false">P32+P33</f>
        <v>1913.59123701564</v>
      </c>
      <c r="Q36" s="70" t="n">
        <f aca="false">Q32+Q33</f>
        <v>1997.52634903447</v>
      </c>
      <c r="R36" s="70" t="n">
        <f aca="false">R32+R33</f>
        <v>2092.69042987294</v>
      </c>
      <c r="S36" s="70"/>
    </row>
    <row r="37" customFormat="false" ht="15" hidden="false" customHeight="false" outlineLevel="0" collapsed="false">
      <c r="A37" s="0" t="s">
        <v>149</v>
      </c>
      <c r="C37" s="70" t="n">
        <f aca="false">C36/(1+$B$56)^C35</f>
        <v>1489</v>
      </c>
      <c r="D37" s="70" t="n">
        <f aca="false">D36/(1+$B$56)^D35</f>
        <v>1876.05633802817</v>
      </c>
      <c r="E37" s="70" t="n">
        <f aca="false">E36/(1+$B$56)^E35</f>
        <v>492.847539068527</v>
      </c>
      <c r="F37" s="70" t="n">
        <f aca="false">F36/(1+$B$56)^F35</f>
        <v>944.025626118231</v>
      </c>
      <c r="G37" s="70" t="n">
        <f aca="false">G36/(1+$B$56)^G35</f>
        <v>1282.32720686271</v>
      </c>
      <c r="H37" s="70" t="n">
        <f aca="false">H36/(1+$B$56)^H35</f>
        <v>950.793475810483</v>
      </c>
      <c r="I37" s="70" t="n">
        <f aca="false">I36/(1+$B$56)^I35</f>
        <v>890.035625555497</v>
      </c>
      <c r="J37" s="70" t="n">
        <f aca="false">J36/(1+$B$56)^J35</f>
        <v>1023.80105548971</v>
      </c>
      <c r="K37" s="70" t="n">
        <f aca="false">K36/(1+$B$56)^K35</f>
        <v>983.307179414136</v>
      </c>
      <c r="L37" s="70" t="n">
        <f aca="false">L36/(1+$B$56)^L35</f>
        <v>947.324111896813</v>
      </c>
      <c r="M37" s="70" t="n">
        <f aca="false">M36/(1+$B$56)^M35</f>
        <v>915.61333585051</v>
      </c>
      <c r="N37" s="70" t="n">
        <f aca="false">N36/(1+$B$56)^N35</f>
        <v>887.949680948744</v>
      </c>
      <c r="O37" s="70" t="n">
        <f aca="false">O36/(1+$B$56)^O35</f>
        <v>864.120656316673</v>
      </c>
      <c r="P37" s="70" t="n">
        <f aca="false">P36/(1+$B$56)^P35</f>
        <v>843.925816279107</v>
      </c>
      <c r="Q37" s="70" t="n">
        <f aca="false">Q36/(1+$B$56)^Q35</f>
        <v>827.176157582315</v>
      </c>
      <c r="R37" s="70" t="n">
        <f aca="false">R36/(1+$B$56)^R35</f>
        <v>813.693546580982</v>
      </c>
      <c r="S37" s="70"/>
    </row>
    <row r="38" customFormat="false" ht="15" hidden="false" customHeight="false" outlineLevel="0" collapsed="false">
      <c r="A38" s="0" t="s">
        <v>150</v>
      </c>
      <c r="C38" s="70" t="n">
        <f aca="false">SUM(C37:R37)</f>
        <v>16031.9973518026</v>
      </c>
      <c r="D38" s="70"/>
      <c r="E38" s="70"/>
      <c r="F38" s="70"/>
      <c r="G38" s="70"/>
      <c r="H38" s="88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</row>
    <row r="39" customFormat="false" ht="15" hidden="false" customHeight="false" outlineLevel="0" collapsed="false">
      <c r="C39" s="70"/>
      <c r="D39" s="70"/>
      <c r="E39" s="70"/>
      <c r="F39" s="70"/>
      <c r="G39" s="70"/>
      <c r="H39" s="88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</row>
    <row r="40" customFormat="false" ht="15" hidden="false" customHeight="false" outlineLevel="0" collapsed="false">
      <c r="A40" s="0" t="s">
        <v>151</v>
      </c>
      <c r="C40" s="62" t="n">
        <f aca="false">-C33/'Income Statement'!C49</f>
        <v>1.94374282433984</v>
      </c>
      <c r="D40" s="62" t="n">
        <f aca="false">-D33/'Income Statement'!D49</f>
        <v>2.00912200684151</v>
      </c>
      <c r="E40" s="62" t="n">
        <f aca="false">-E33/'Income Statement'!E49</f>
        <v>2.08026755852843</v>
      </c>
      <c r="F40" s="62" t="n">
        <f aca="false">-F33/'Income Statement'!F49</f>
        <v>2.15274725274725</v>
      </c>
      <c r="G40" s="62" t="n">
        <f aca="false">-G33/'Income Statement'!G49</f>
        <v>2.2124079915878</v>
      </c>
      <c r="H40" s="91" t="n">
        <f aca="false">-H33/'Income Statement'!H49</f>
        <v>2.3</v>
      </c>
      <c r="I40" s="92" t="n">
        <f aca="false">H40*(1+I41)</f>
        <v>2.369</v>
      </c>
      <c r="J40" s="92" t="n">
        <f aca="false">I40*(1+J41)</f>
        <v>2.44007</v>
      </c>
      <c r="K40" s="92" t="n">
        <f aca="false">J40*(1+K41)</f>
        <v>2.5132721</v>
      </c>
      <c r="L40" s="92" t="n">
        <f aca="false">K40*(1+L41)</f>
        <v>2.588670263</v>
      </c>
      <c r="M40" s="92" t="n">
        <f aca="false">L40*(1+M41)</f>
        <v>2.66633037089</v>
      </c>
      <c r="N40" s="92" t="n">
        <f aca="false">M40*(1+N41)</f>
        <v>2.7463202820167</v>
      </c>
      <c r="O40" s="92" t="n">
        <f aca="false">N40*(1+O41)</f>
        <v>2.8287098904772</v>
      </c>
      <c r="P40" s="92" t="n">
        <f aca="false">O40*(1+P41)</f>
        <v>2.91357118719152</v>
      </c>
      <c r="Q40" s="92" t="n">
        <f aca="false">P40*(1+Q41)</f>
        <v>3.00097832280726</v>
      </c>
      <c r="R40" s="92" t="n">
        <f aca="false">Q40*(1+R41)</f>
        <v>3.09100767249148</v>
      </c>
      <c r="S40" s="70"/>
    </row>
    <row r="41" customFormat="false" ht="15" hidden="false" customHeight="false" outlineLevel="0" collapsed="false">
      <c r="A41" s="0" t="s">
        <v>152</v>
      </c>
      <c r="C41" s="70"/>
      <c r="D41" s="80" t="n">
        <f aca="false">(D40-C40)/C40</f>
        <v>0.0336357164553756</v>
      </c>
      <c r="E41" s="80" t="n">
        <f aca="false">(E40-D40)/D40</f>
        <v>0.0354112649429236</v>
      </c>
      <c r="F41" s="80" t="n">
        <f aca="false">(F40-E40)/E40</f>
        <v>0.0348415250344511</v>
      </c>
      <c r="G41" s="80" t="n">
        <f aca="false">(G40-F40)/F40</f>
        <v>0.027713768425166</v>
      </c>
      <c r="H41" s="93" t="n">
        <f aca="false">(H40-G40)/G40</f>
        <v>0.0395912547528516</v>
      </c>
      <c r="I41" s="80" t="n">
        <f aca="false">$B$55</f>
        <v>0.03</v>
      </c>
      <c r="J41" s="80" t="n">
        <f aca="false">$B$55</f>
        <v>0.03</v>
      </c>
      <c r="K41" s="80" t="n">
        <f aca="false">$B$55</f>
        <v>0.03</v>
      </c>
      <c r="L41" s="80" t="n">
        <f aca="false">$B$55</f>
        <v>0.03</v>
      </c>
      <c r="M41" s="80" t="n">
        <f aca="false">$B$55</f>
        <v>0.03</v>
      </c>
      <c r="N41" s="80" t="n">
        <f aca="false">$B$55</f>
        <v>0.03</v>
      </c>
      <c r="O41" s="80" t="n">
        <f aca="false">$B$55</f>
        <v>0.03</v>
      </c>
      <c r="P41" s="80" t="n">
        <f aca="false">$B$55</f>
        <v>0.03</v>
      </c>
      <c r="Q41" s="80" t="n">
        <f aca="false">$B$55</f>
        <v>0.03</v>
      </c>
      <c r="R41" s="80" t="n">
        <f aca="false">$B$55</f>
        <v>0.03</v>
      </c>
      <c r="S41" s="70"/>
    </row>
    <row r="42" customFormat="false" ht="15" hidden="false" customHeight="false" outlineLevel="0" collapsed="false">
      <c r="A42" s="0" t="s">
        <v>153</v>
      </c>
      <c r="C42" s="50" t="n">
        <v>871</v>
      </c>
      <c r="D42" s="50" t="n">
        <v>877</v>
      </c>
      <c r="E42" s="50" t="n">
        <v>897</v>
      </c>
      <c r="F42" s="50" t="n">
        <v>910</v>
      </c>
      <c r="G42" s="50" t="n">
        <v>951</v>
      </c>
      <c r="H42" s="74" t="n">
        <v>1000</v>
      </c>
      <c r="I42" s="0" t="n">
        <f aca="false">H42</f>
        <v>1000</v>
      </c>
      <c r="J42" s="0" t="n">
        <f aca="false">I42</f>
        <v>1000</v>
      </c>
      <c r="K42" s="0" t="n">
        <f aca="false">J42</f>
        <v>1000</v>
      </c>
      <c r="L42" s="0" t="n">
        <f aca="false">K42</f>
        <v>1000</v>
      </c>
      <c r="M42" s="0" t="n">
        <f aca="false">L42</f>
        <v>1000</v>
      </c>
      <c r="N42" s="0" t="n">
        <f aca="false">M42</f>
        <v>1000</v>
      </c>
      <c r="O42" s="0" t="n">
        <f aca="false">N42</f>
        <v>1000</v>
      </c>
      <c r="P42" s="0" t="n">
        <f aca="false">O42</f>
        <v>1000</v>
      </c>
      <c r="Q42" s="0" t="n">
        <f aca="false">P42</f>
        <v>1000</v>
      </c>
      <c r="R42" s="0" t="n">
        <f aca="false">Q42</f>
        <v>1000</v>
      </c>
      <c r="S42" s="70"/>
    </row>
    <row r="43" customFormat="false" ht="15" hidden="false" customHeight="false" outlineLevel="0" collapsed="false">
      <c r="A43" s="0" t="s">
        <v>154</v>
      </c>
      <c r="B43" s="70" t="n">
        <f aca="false">C38</f>
        <v>16031.9973518026</v>
      </c>
      <c r="C43" s="70"/>
      <c r="D43" s="70"/>
      <c r="E43" s="70"/>
      <c r="F43" s="70"/>
      <c r="G43" s="70"/>
      <c r="H43" s="88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</row>
    <row r="44" customFormat="false" ht="15" hidden="false" customHeight="false" outlineLevel="0" collapsed="false">
      <c r="A44" s="0" t="s">
        <v>155</v>
      </c>
      <c r="B44" s="54" t="n">
        <f aca="false">(R36*(1+B58)/(B56-B58))/(1+B56)^R35</f>
        <v>23945.838656526</v>
      </c>
      <c r="H44" s="0"/>
    </row>
    <row r="45" customFormat="false" ht="15" hidden="false" customHeight="false" outlineLevel="0" collapsed="false">
      <c r="A45" s="0" t="s">
        <v>156</v>
      </c>
      <c r="B45" s="70" t="n">
        <f aca="false">B43+B44</f>
        <v>39977.8360083286</v>
      </c>
      <c r="H45" s="0"/>
    </row>
    <row r="46" customFormat="false" ht="15" hidden="false" customHeight="false" outlineLevel="0" collapsed="false">
      <c r="A46" s="60" t="s">
        <v>157</v>
      </c>
      <c r="B46" s="54" t="n">
        <f aca="false">'Balance Sheet'!B72-'Balance Sheet'!B3</f>
        <v>18639</v>
      </c>
      <c r="H46" s="0"/>
    </row>
    <row r="47" customFormat="false" ht="13.8" hidden="false" customHeight="false" outlineLevel="0" collapsed="false">
      <c r="A47" s="0" t="s">
        <v>158</v>
      </c>
      <c r="B47" s="70" t="n">
        <f aca="false">B45-B46</f>
        <v>21338.8360083286</v>
      </c>
      <c r="C47" s="0" t="n">
        <f aca="false">C10/C6</f>
        <v>0.228911275640248</v>
      </c>
      <c r="D47" s="0" t="n">
        <f aca="false">D10/D6</f>
        <v>0.225770472556501</v>
      </c>
      <c r="E47" s="0" t="n">
        <f aca="false">E10/E6</f>
        <v>0.236553297837662</v>
      </c>
      <c r="F47" s="0" t="n">
        <f aca="false">F10/F6</f>
        <v>0.253181974544204</v>
      </c>
      <c r="G47" s="0" t="n">
        <f aca="false">G10/G6</f>
        <v>0.293425915556053</v>
      </c>
      <c r="H47" s="0" t="n">
        <f aca="false">H10/H6</f>
        <v>0.297282638173239</v>
      </c>
      <c r="I47" s="0" t="n">
        <f aca="false">AVERAGE(C47:H47)</f>
        <v>0.255854262384651</v>
      </c>
    </row>
    <row r="48" customFormat="false" ht="15" hidden="false" customHeight="false" outlineLevel="0" collapsed="false">
      <c r="H48" s="0"/>
    </row>
    <row r="49" customFormat="false" ht="15" hidden="false" customHeight="false" outlineLevel="0" collapsed="false">
      <c r="A49" s="0" t="s">
        <v>159</v>
      </c>
      <c r="B49" s="92" t="n">
        <f aca="false">B47/C42</f>
        <v>24.4992376674267</v>
      </c>
      <c r="H49" s="0"/>
    </row>
    <row r="50" customFormat="false" ht="15" hidden="false" customHeight="false" outlineLevel="0" collapsed="false">
      <c r="H50" s="0"/>
    </row>
    <row r="51" customFormat="false" ht="15" hidden="false" customHeight="false" outlineLevel="0" collapsed="false">
      <c r="A51" s="0" t="s">
        <v>160</v>
      </c>
      <c r="B51" s="0" t="n">
        <v>9000</v>
      </c>
      <c r="C51" s="0" t="n">
        <f aca="false">B51/12</f>
        <v>750</v>
      </c>
      <c r="D51" s="0" t="n">
        <f aca="false">B51/10</f>
        <v>900</v>
      </c>
      <c r="E51" s="0" t="n">
        <f aca="false">B51/6</f>
        <v>1500</v>
      </c>
      <c r="F51" s="0" t="n">
        <f aca="false">B51-C51-D51-E51-G51-H51-I51</f>
        <v>2400</v>
      </c>
      <c r="G51" s="0" t="n">
        <f aca="false">B51/5</f>
        <v>1800</v>
      </c>
      <c r="H51" s="73" t="n">
        <f aca="false">B51/10</f>
        <v>900</v>
      </c>
      <c r="I51" s="0" t="n">
        <f aca="false">B51/12</f>
        <v>750</v>
      </c>
    </row>
    <row r="52" customFormat="false" ht="15" hidden="false" customHeight="false" outlineLevel="0" collapsed="false">
      <c r="H52" s="0"/>
    </row>
    <row r="53" customFormat="false" ht="15" hidden="false" customHeight="false" outlineLevel="0" collapsed="false">
      <c r="H53" s="0"/>
    </row>
    <row r="54" customFormat="false" ht="15" hidden="false" customHeight="false" outlineLevel="0" collapsed="false">
      <c r="H54" s="0"/>
    </row>
    <row r="55" customFormat="false" ht="15" hidden="false" customHeight="false" outlineLevel="0" collapsed="false">
      <c r="A55" s="0" t="s">
        <v>161</v>
      </c>
      <c r="B55" s="0" t="n">
        <v>0.03</v>
      </c>
      <c r="H55" s="0"/>
    </row>
    <row r="56" customFormat="false" ht="15" hidden="false" customHeight="false" outlineLevel="0" collapsed="false">
      <c r="A56" s="0" t="s">
        <v>162</v>
      </c>
      <c r="B56" s="94" t="n">
        <v>0.065</v>
      </c>
      <c r="H56" s="0"/>
    </row>
    <row r="57" customFormat="false" ht="15" hidden="false" customHeight="false" outlineLevel="0" collapsed="false">
      <c r="A57" s="0" t="s">
        <v>163</v>
      </c>
      <c r="B57" s="95" t="n">
        <v>0.03</v>
      </c>
      <c r="H57" s="0"/>
    </row>
    <row r="58" customFormat="false" ht="15" hidden="false" customHeight="false" outlineLevel="0" collapsed="false">
      <c r="A58" s="0" t="s">
        <v>164</v>
      </c>
      <c r="B58" s="94" t="n">
        <v>0.03</v>
      </c>
      <c r="H58" s="0"/>
    </row>
    <row r="59" customFormat="false" ht="15" hidden="false" customHeight="false" outlineLevel="0" collapsed="false">
      <c r="B59" s="95"/>
      <c r="H59" s="0"/>
    </row>
    <row r="60" customFormat="false" ht="15" hidden="false" customHeight="false" outlineLevel="0" collapsed="false">
      <c r="A60" s="0" t="s">
        <v>165</v>
      </c>
      <c r="H60" s="0"/>
    </row>
    <row r="61" customFormat="false" ht="15" hidden="false" customHeight="false" outlineLevel="0" collapsed="false">
      <c r="A61" s="51" t="s">
        <v>166</v>
      </c>
      <c r="B61" s="54"/>
      <c r="C61" s="54"/>
      <c r="D61" s="54"/>
      <c r="E61" s="54"/>
      <c r="F61" s="54"/>
      <c r="G61" s="89"/>
      <c r="H61" s="0"/>
    </row>
    <row r="62" customFormat="false" ht="15" hidden="false" customHeight="false" outlineLevel="0" collapsed="false">
      <c r="A62" s="0" t="s">
        <v>167</v>
      </c>
      <c r="C62" s="54" t="n">
        <v>63251</v>
      </c>
      <c r="D62" s="54" t="n">
        <v>66021</v>
      </c>
      <c r="E62" s="54" t="n">
        <v>70013</v>
      </c>
      <c r="F62" s="54" t="n">
        <v>75118</v>
      </c>
      <c r="G62" s="54" t="n">
        <f aca="false">F62*(1+AVERAGE($D$63:$F$63))</f>
        <v>79554.3291978802</v>
      </c>
      <c r="H62" s="89" t="n">
        <f aca="false">G62*(1+AVERAGE($D$63:$F$63))</f>
        <v>84252.6597370097</v>
      </c>
      <c r="I62" s="54" t="n">
        <f aca="false">H62*(1+I63)</f>
        <v>86780.2395291199</v>
      </c>
      <c r="J62" s="54" t="n">
        <f aca="false">I62*(1+J63)</f>
        <v>89383.6467149936</v>
      </c>
      <c r="K62" s="54" t="n">
        <f aca="false">J62*(1+K63)</f>
        <v>92065.1561164434</v>
      </c>
      <c r="L62" s="54" t="n">
        <f aca="false">K62*(1+L63)</f>
        <v>94827.1107999367</v>
      </c>
      <c r="M62" s="54" t="n">
        <f aca="false">L62*(1+M63)</f>
        <v>97671.9241239348</v>
      </c>
      <c r="N62" s="54" t="n">
        <f aca="false">M62*(1+N63)</f>
        <v>100602.081847653</v>
      </c>
      <c r="O62" s="54" t="n">
        <f aca="false">N62*(1+O63)</f>
        <v>103620.144303082</v>
      </c>
      <c r="P62" s="54" t="n">
        <f aca="false">O62*(1+P63)</f>
        <v>106728.748632175</v>
      </c>
      <c r="Q62" s="54" t="n">
        <f aca="false">P62*(1+Q63)</f>
        <v>109930.61109114</v>
      </c>
      <c r="R62" s="54" t="n">
        <f aca="false">Q62*(1+R63)</f>
        <v>113228.529423874</v>
      </c>
      <c r="S62" s="54" t="n">
        <f aca="false">R62*(1+S63)</f>
        <v>116625.385306591</v>
      </c>
    </row>
    <row r="63" customFormat="false" ht="15" hidden="false" customHeight="false" outlineLevel="0" collapsed="false">
      <c r="A63" s="0" t="s">
        <v>152</v>
      </c>
      <c r="C63" s="54"/>
      <c r="D63" s="80" t="n">
        <f aca="false">(D62-C62)/C62</f>
        <v>0.0437937740114781</v>
      </c>
      <c r="E63" s="80" t="n">
        <f aca="false">(E62-D62)/D62</f>
        <v>0.0604656094273034</v>
      </c>
      <c r="F63" s="80" t="n">
        <f aca="false">(F62-E62)/E62</f>
        <v>0.0729150300658449</v>
      </c>
      <c r="G63" s="80" t="n">
        <f aca="false">AVERAGE($D$63:$F$63)</f>
        <v>0.0590581378348755</v>
      </c>
      <c r="H63" s="93" t="n">
        <f aca="false">AVERAGE($D$63:$F$63)</f>
        <v>0.0590581378348755</v>
      </c>
      <c r="I63" s="80" t="n">
        <f aca="false">$B$57</f>
        <v>0.03</v>
      </c>
      <c r="J63" s="80" t="n">
        <f aca="false">$B$57</f>
        <v>0.03</v>
      </c>
      <c r="K63" s="80" t="n">
        <f aca="false">$B$57</f>
        <v>0.03</v>
      </c>
      <c r="L63" s="80" t="n">
        <f aca="false">$B$57</f>
        <v>0.03</v>
      </c>
      <c r="M63" s="80" t="n">
        <f aca="false">$B$57</f>
        <v>0.03</v>
      </c>
      <c r="N63" s="80" t="n">
        <f aca="false">$B$57</f>
        <v>0.03</v>
      </c>
      <c r="O63" s="80" t="n">
        <f aca="false">$B$57</f>
        <v>0.03</v>
      </c>
      <c r="P63" s="80" t="n">
        <f aca="false">$B$57</f>
        <v>0.03</v>
      </c>
      <c r="Q63" s="80" t="n">
        <f aca="false">$B$57</f>
        <v>0.03</v>
      </c>
      <c r="R63" s="80" t="n">
        <f aca="false">$B$57</f>
        <v>0.03</v>
      </c>
      <c r="S63" s="80" t="n">
        <f aca="false">$B$57</f>
        <v>0.03</v>
      </c>
    </row>
    <row r="64" customFormat="false" ht="15" hidden="false" customHeight="false" outlineLevel="0" collapsed="false">
      <c r="A64" s="63" t="s">
        <v>168</v>
      </c>
      <c r="C64" s="54" t="n">
        <v>21964</v>
      </c>
      <c r="D64" s="54" t="n">
        <v>23059</v>
      </c>
      <c r="E64" s="54" t="n">
        <v>24059</v>
      </c>
      <c r="F64" s="54" t="n">
        <v>24253</v>
      </c>
      <c r="G64" s="54" t="n">
        <v>27000</v>
      </c>
      <c r="H64" s="89" t="n">
        <v>29000</v>
      </c>
      <c r="I64" s="70" t="n">
        <f aca="false">I65*I62</f>
        <v>29600.9438479715</v>
      </c>
      <c r="J64" s="70" t="n">
        <f aca="false">J65*J62</f>
        <v>30488.9721634106</v>
      </c>
      <c r="K64" s="70" t="n">
        <f aca="false">K65*K62</f>
        <v>31403.641328313</v>
      </c>
      <c r="L64" s="70" t="n">
        <f aca="false">L65*L62</f>
        <v>32345.7505681623</v>
      </c>
      <c r="M64" s="70" t="n">
        <f aca="false">M65*M62</f>
        <v>33316.1230852072</v>
      </c>
      <c r="N64" s="70" t="n">
        <f aca="false">N65*N62</f>
        <v>34315.6067777634</v>
      </c>
      <c r="O64" s="70" t="n">
        <f aca="false">O65*O62</f>
        <v>35345.0749810963</v>
      </c>
      <c r="P64" s="70" t="n">
        <f aca="false">P65*P62</f>
        <v>36405.4272305292</v>
      </c>
      <c r="Q64" s="70" t="n">
        <f aca="false">Q65*Q62</f>
        <v>37497.5900474451</v>
      </c>
      <c r="R64" s="70" t="n">
        <f aca="false">R65*R62</f>
        <v>38622.5177488685</v>
      </c>
    </row>
    <row r="65" customFormat="false" ht="15" hidden="false" customHeight="false" outlineLevel="0" collapsed="false">
      <c r="A65" s="63"/>
      <c r="C65" s="96" t="n">
        <f aca="false">C64/C62</f>
        <v>0.347251426854911</v>
      </c>
      <c r="D65" s="96" t="n">
        <f aca="false">D64/D62</f>
        <v>0.349267657260569</v>
      </c>
      <c r="E65" s="96" t="n">
        <f aca="false">E64/E62</f>
        <v>0.343636181851942</v>
      </c>
      <c r="F65" s="96" t="n">
        <f aca="false">F64/F62</f>
        <v>0.322865358502623</v>
      </c>
      <c r="G65" s="96" t="n">
        <f aca="false">G64/G62</f>
        <v>0.339390706605561</v>
      </c>
      <c r="H65" s="96" t="n">
        <f aca="false">H64/H62</f>
        <v>0.344202783514752</v>
      </c>
      <c r="I65" s="81" t="n">
        <f aca="false">AVERAGE($C$65:$H$65)</f>
        <v>0.341102352431726</v>
      </c>
      <c r="J65" s="81" t="n">
        <f aca="false">AVERAGE($C$65:$H$65)</f>
        <v>0.341102352431726</v>
      </c>
      <c r="K65" s="81" t="n">
        <f aca="false">AVERAGE($C$65:$H$65)</f>
        <v>0.341102352431726</v>
      </c>
      <c r="L65" s="81" t="n">
        <f aca="false">AVERAGE($C$65:$H$65)</f>
        <v>0.341102352431726</v>
      </c>
      <c r="M65" s="81" t="n">
        <f aca="false">AVERAGE($C$65:$H$65)</f>
        <v>0.341102352431726</v>
      </c>
      <c r="N65" s="81" t="n">
        <f aca="false">AVERAGE($C$65:$H$65)</f>
        <v>0.341102352431726</v>
      </c>
      <c r="O65" s="81" t="n">
        <f aca="false">AVERAGE($C$65:$H$65)</f>
        <v>0.341102352431726</v>
      </c>
      <c r="P65" s="81" t="n">
        <f aca="false">AVERAGE($C$65:$H$65)</f>
        <v>0.341102352431726</v>
      </c>
      <c r="Q65" s="81" t="n">
        <f aca="false">AVERAGE($C$65:$H$65)</f>
        <v>0.341102352431726</v>
      </c>
      <c r="R65" s="81" t="n">
        <f aca="false">AVERAGE($C$65:$H$65)</f>
        <v>0.341102352431726</v>
      </c>
    </row>
    <row r="66" customFormat="false" ht="15" hidden="false" customHeight="false" outlineLevel="0" collapsed="false">
      <c r="A66" s="65" t="s">
        <v>169</v>
      </c>
      <c r="C66" s="97" t="n">
        <f aca="false">C62-C64</f>
        <v>41287</v>
      </c>
      <c r="D66" s="97" t="n">
        <f aca="false">D62-D64</f>
        <v>42962</v>
      </c>
      <c r="E66" s="97" t="n">
        <f aca="false">E62-E64</f>
        <v>45954</v>
      </c>
      <c r="F66" s="97" t="n">
        <f aca="false">F62-F64</f>
        <v>50865</v>
      </c>
      <c r="G66" s="97" t="n">
        <f aca="false">G62-G64</f>
        <v>52554.3291978802</v>
      </c>
      <c r="H66" s="98" t="n">
        <f aca="false">H62-H64</f>
        <v>55252.6597370097</v>
      </c>
      <c r="I66" s="97" t="n">
        <f aca="false">I62-I64</f>
        <v>57179.2956811485</v>
      </c>
      <c r="J66" s="97" t="n">
        <f aca="false">J62-J64</f>
        <v>58894.6745515829</v>
      </c>
      <c r="K66" s="97" t="n">
        <f aca="false">K62-K64</f>
        <v>60661.5147881304</v>
      </c>
      <c r="L66" s="97" t="n">
        <f aca="false">L62-L64</f>
        <v>62481.3602317743</v>
      </c>
      <c r="M66" s="97" t="n">
        <f aca="false">M62-M64</f>
        <v>64355.8010387275</v>
      </c>
      <c r="N66" s="97" t="n">
        <f aca="false">N62-N64</f>
        <v>66286.4750698894</v>
      </c>
      <c r="O66" s="97" t="n">
        <f aca="false">O62-O64</f>
        <v>68275.0693219861</v>
      </c>
      <c r="P66" s="97" t="n">
        <f aca="false">P62-P64</f>
        <v>70323.3214016456</v>
      </c>
      <c r="Q66" s="97" t="n">
        <f aca="false">Q62-Q64</f>
        <v>72433.021043695</v>
      </c>
      <c r="R66" s="97" t="n">
        <f aca="false">R62-R64</f>
        <v>74606.0116750058</v>
      </c>
      <c r="S66" s="97" t="n">
        <f aca="false">S62-S64</f>
        <v>116625.385306591</v>
      </c>
    </row>
    <row r="67" customFormat="false" ht="15" hidden="false" customHeight="false" outlineLevel="0" collapsed="false">
      <c r="A67" s="63" t="s">
        <v>170</v>
      </c>
      <c r="C67" s="54" t="n">
        <v>263</v>
      </c>
      <c r="D67" s="54" t="n">
        <v>240</v>
      </c>
      <c r="E67" s="54" t="n">
        <v>211</v>
      </c>
      <c r="F67" s="54" t="n">
        <v>233</v>
      </c>
      <c r="G67" s="54" t="n">
        <v>0</v>
      </c>
      <c r="H67" s="89" t="n">
        <v>0</v>
      </c>
    </row>
    <row r="68" customFormat="false" ht="15" hidden="false" customHeight="false" outlineLevel="0" collapsed="false">
      <c r="A68" s="0" t="s">
        <v>171</v>
      </c>
      <c r="C68" s="54" t="n">
        <v>851</v>
      </c>
      <c r="D68" s="54" t="n">
        <v>855</v>
      </c>
      <c r="E68" s="54" t="n">
        <v>911</v>
      </c>
      <c r="F68" s="54" t="n">
        <v>934</v>
      </c>
      <c r="G68" s="54" t="n">
        <v>905</v>
      </c>
      <c r="H68" s="89" t="n">
        <v>883</v>
      </c>
      <c r="I68" s="70" t="n">
        <f aca="false">H68</f>
        <v>883</v>
      </c>
      <c r="J68" s="70" t="n">
        <f aca="false">I68</f>
        <v>883</v>
      </c>
      <c r="K68" s="70" t="n">
        <f aca="false">J68</f>
        <v>883</v>
      </c>
      <c r="L68" s="70" t="n">
        <f aca="false">K68</f>
        <v>883</v>
      </c>
      <c r="M68" s="70" t="n">
        <f aca="false">L68</f>
        <v>883</v>
      </c>
      <c r="N68" s="70" t="n">
        <f aca="false">M68</f>
        <v>883</v>
      </c>
      <c r="O68" s="70" t="n">
        <f aca="false">N68</f>
        <v>883</v>
      </c>
      <c r="P68" s="70" t="n">
        <f aca="false">O68</f>
        <v>883</v>
      </c>
      <c r="Q68" s="70" t="n">
        <f aca="false">P68</f>
        <v>883</v>
      </c>
      <c r="R68" s="70" t="n">
        <f aca="false">Q68</f>
        <v>883</v>
      </c>
    </row>
    <row r="69" customFormat="false" ht="15" hidden="false" customHeight="false" outlineLevel="0" collapsed="false">
      <c r="A69" s="0" t="s">
        <v>172</v>
      </c>
      <c r="C69" s="54" t="n">
        <v>5989</v>
      </c>
      <c r="D69" s="54" t="n">
        <v>7151</v>
      </c>
      <c r="E69" s="54" t="n">
        <v>7792</v>
      </c>
      <c r="F69" s="54" t="n">
        <v>9082</v>
      </c>
      <c r="G69" s="54" t="n">
        <v>8977</v>
      </c>
      <c r="H69" s="89" t="n">
        <v>6904</v>
      </c>
      <c r="I69" s="70" t="n">
        <f aca="false">H69</f>
        <v>6904</v>
      </c>
      <c r="J69" s="70" t="n">
        <f aca="false">I69</f>
        <v>6904</v>
      </c>
      <c r="K69" s="70" t="n">
        <f aca="false">J69</f>
        <v>6904</v>
      </c>
      <c r="L69" s="70" t="n">
        <f aca="false">K69</f>
        <v>6904</v>
      </c>
      <c r="M69" s="70" t="n">
        <f aca="false">L69</f>
        <v>6904</v>
      </c>
      <c r="N69" s="70" t="n">
        <f aca="false">M69</f>
        <v>6904</v>
      </c>
      <c r="O69" s="70" t="n">
        <f aca="false">N69</f>
        <v>6904</v>
      </c>
      <c r="P69" s="70" t="n">
        <f aca="false">O69</f>
        <v>6904</v>
      </c>
      <c r="Q69" s="70" t="n">
        <f aca="false">P69</f>
        <v>6904</v>
      </c>
      <c r="R69" s="70" t="n">
        <f aca="false">Q69</f>
        <v>6904</v>
      </c>
    </row>
    <row r="70" customFormat="false" ht="15" hidden="false" customHeight="false" outlineLevel="0" collapsed="false">
      <c r="A70" s="99" t="s">
        <v>173</v>
      </c>
      <c r="C70" s="100" t="n">
        <f aca="false">C66+C67+C68+C69</f>
        <v>48390</v>
      </c>
      <c r="D70" s="100" t="n">
        <f aca="false">D66+D67+D68+D69</f>
        <v>51208</v>
      </c>
      <c r="E70" s="100" t="n">
        <f aca="false">E66+E67+E68+E69</f>
        <v>54868</v>
      </c>
      <c r="F70" s="100" t="n">
        <f aca="false">F66+F67+F68+F69</f>
        <v>61114</v>
      </c>
      <c r="G70" s="100" t="n">
        <f aca="false">G66+G67+G68+G69</f>
        <v>62436.3291978802</v>
      </c>
      <c r="H70" s="101" t="n">
        <f aca="false">H66+H67+H68+H69</f>
        <v>63039.6597370097</v>
      </c>
      <c r="I70" s="100" t="n">
        <f aca="false">I66+I67+I68+I69</f>
        <v>64966.2956811485</v>
      </c>
      <c r="J70" s="100" t="n">
        <f aca="false">J66+J67+J68+J69</f>
        <v>66681.6745515829</v>
      </c>
      <c r="K70" s="100" t="n">
        <f aca="false">K66+K67+K68+K69</f>
        <v>68448.5147881304</v>
      </c>
      <c r="L70" s="100" t="n">
        <f aca="false">L66+L67+L68+L69</f>
        <v>70268.3602317743</v>
      </c>
      <c r="M70" s="100" t="n">
        <f aca="false">M66+M67+M68+M69</f>
        <v>72142.8010387275</v>
      </c>
      <c r="N70" s="100" t="n">
        <f aca="false">N66+N67+N68+N69</f>
        <v>74073.4750698894</v>
      </c>
      <c r="O70" s="100" t="n">
        <f aca="false">O66+O67+O68+O69</f>
        <v>76062.0693219861</v>
      </c>
      <c r="P70" s="100" t="n">
        <f aca="false">P66+P67+P68+P69</f>
        <v>78110.3214016456</v>
      </c>
      <c r="Q70" s="100" t="n">
        <f aca="false">Q66+Q67+Q68+Q69</f>
        <v>80220.021043695</v>
      </c>
      <c r="R70" s="100" t="n">
        <f aca="false">R66+R67+R68+R69</f>
        <v>82393.0116750058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9"/>
  <sheetViews>
    <sheetView windowProtection="false" showFormulas="false" showGridLines="true" showRowColHeaders="true" showZeros="true" rightToLeft="false" tabSelected="false" showOutlineSymbols="true" defaultGridColor="true" view="normal" topLeftCell="A53" colorId="64" zoomScale="75" zoomScaleNormal="75" zoomScalePageLayoutView="100" workbookViewId="0">
      <selection pane="topLeft" activeCell="E73" activeCellId="0" sqref="E73"/>
    </sheetView>
  </sheetViews>
  <sheetFormatPr defaultRowHeight="15"/>
  <cols>
    <col collapsed="false" hidden="false" max="1" min="1" style="0" width="47.7732793522267"/>
    <col collapsed="false" hidden="false" max="6" min="2" style="0" width="10.2834008097166"/>
    <col collapsed="false" hidden="false" max="7" min="7" style="73" width="10.2834008097166"/>
    <col collapsed="false" hidden="false" max="8" min="8" style="0" width="15.2105263157895"/>
    <col collapsed="false" hidden="false" max="17" min="9" style="0" width="13.7125506072874"/>
    <col collapsed="false" hidden="false" max="1025" min="18" style="0" width="8.57085020242915"/>
  </cols>
  <sheetData>
    <row r="1" customFormat="false" ht="15" hidden="false" customHeight="false" outlineLevel="0" collapsed="false">
      <c r="A1" s="102" t="s">
        <v>174</v>
      </c>
      <c r="B1" s="102" t="n">
        <v>2012</v>
      </c>
      <c r="C1" s="102" t="n">
        <v>2013</v>
      </c>
      <c r="D1" s="102" t="n">
        <v>2014</v>
      </c>
      <c r="E1" s="102" t="n">
        <v>2015</v>
      </c>
      <c r="F1" s="102" t="n">
        <v>2016</v>
      </c>
      <c r="G1" s="103" t="n">
        <v>2017</v>
      </c>
      <c r="H1" s="102" t="n">
        <v>2018</v>
      </c>
      <c r="I1" s="102" t="n">
        <v>2019</v>
      </c>
      <c r="J1" s="102" t="n">
        <v>2020</v>
      </c>
      <c r="K1" s="102" t="n">
        <v>2021</v>
      </c>
      <c r="L1" s="102" t="n">
        <v>2022</v>
      </c>
      <c r="M1" s="102" t="n">
        <v>2023</v>
      </c>
      <c r="N1" s="102" t="n">
        <v>2024</v>
      </c>
      <c r="O1" s="102" t="n">
        <v>2025</v>
      </c>
      <c r="P1" s="102" t="n">
        <v>2026</v>
      </c>
      <c r="Q1" s="102" t="n">
        <v>2027</v>
      </c>
    </row>
    <row r="2" customFormat="false" ht="15" hidden="false" customHeight="false" outlineLevel="0" collapsed="false">
      <c r="A2" s="51" t="s">
        <v>49</v>
      </c>
      <c r="G2" s="0"/>
    </row>
    <row r="3" customFormat="false" ht="15" hidden="false" customHeight="false" outlineLevel="0" collapsed="false">
      <c r="A3" s="0" t="s">
        <v>175</v>
      </c>
      <c r="B3" s="54" t="n">
        <v>635</v>
      </c>
      <c r="C3" s="54" t="n">
        <f aca="false">'Cash Flow Statement'!C66</f>
        <v>659</v>
      </c>
      <c r="D3" s="54" t="n">
        <f aca="false">'Cash Flow Statement'!D66</f>
        <v>710</v>
      </c>
      <c r="E3" s="54" t="n">
        <f aca="false">'Cash Flow Statement'!E66</f>
        <v>1404</v>
      </c>
      <c r="F3" s="54" t="n">
        <f aca="false">'Cash Flow Statement'!F66</f>
        <v>1975</v>
      </c>
      <c r="G3" s="89" t="n">
        <f aca="false">'Cash Flow Statement'!G66</f>
        <v>2130</v>
      </c>
      <c r="H3" s="54" t="n">
        <f aca="false">$G$3</f>
        <v>2130</v>
      </c>
      <c r="I3" s="54" t="n">
        <f aca="false">$G$3</f>
        <v>2130</v>
      </c>
      <c r="J3" s="54" t="n">
        <f aca="false">$G$3</f>
        <v>2130</v>
      </c>
      <c r="K3" s="54" t="n">
        <f aca="false">$G$3</f>
        <v>2130</v>
      </c>
      <c r="L3" s="54" t="n">
        <f aca="false">$G$3</f>
        <v>2130</v>
      </c>
      <c r="M3" s="54" t="n">
        <f aca="false">$G$3</f>
        <v>2130</v>
      </c>
      <c r="N3" s="54" t="n">
        <f aca="false">$G$3</f>
        <v>2130</v>
      </c>
      <c r="O3" s="54" t="n">
        <f aca="false">$G$3</f>
        <v>2130</v>
      </c>
      <c r="P3" s="54" t="n">
        <f aca="false">$G$3</f>
        <v>2130</v>
      </c>
      <c r="Q3" s="54" t="n">
        <f aca="false">$G$3</f>
        <v>2130</v>
      </c>
    </row>
    <row r="4" customFormat="false" ht="15" hidden="false" customHeight="false" outlineLevel="0" collapsed="false">
      <c r="A4" s="0" t="s">
        <v>176</v>
      </c>
      <c r="B4" s="54" t="n">
        <f aca="false">B5+B7+B8+B9+B10+B11-B56</f>
        <v>262</v>
      </c>
      <c r="C4" s="54" t="n">
        <f aca="false">C5+C7+C8+C9+C10+C11-C56</f>
        <v>443</v>
      </c>
      <c r="D4" s="54" t="n">
        <f aca="false">D5+D7+D8+D9+D10+D11-D56</f>
        <v>354</v>
      </c>
      <c r="E4" s="54" t="n">
        <f aca="false">E5+E7+E8+E9+E10+E11-E56</f>
        <v>142</v>
      </c>
      <c r="F4" s="54" t="n">
        <f aca="false">F5+F7+F8+F9+F10+F11-F56</f>
        <v>939</v>
      </c>
      <c r="G4" s="89" t="n">
        <f aca="false">G5+G7+G8+G9+G10+G11-G56</f>
        <v>911</v>
      </c>
    </row>
    <row r="5" customFormat="false" ht="15" hidden="false" customHeight="false" outlineLevel="0" collapsed="false">
      <c r="A5" s="67" t="s">
        <v>177</v>
      </c>
      <c r="B5" s="54" t="n">
        <v>961</v>
      </c>
      <c r="C5" s="54" t="n">
        <v>1027</v>
      </c>
      <c r="D5" s="54" t="n">
        <v>1090</v>
      </c>
      <c r="E5" s="54" t="n">
        <v>1058</v>
      </c>
      <c r="F5" s="54" t="n">
        <v>1583</v>
      </c>
      <c r="G5" s="89" t="n">
        <v>1806</v>
      </c>
      <c r="H5" s="70" t="n">
        <f aca="false">H100</f>
        <v>2667.71015065392</v>
      </c>
      <c r="I5" s="70" t="n">
        <f aca="false">I100</f>
        <v>2721.90070132237</v>
      </c>
      <c r="J5" s="70" t="n">
        <f aca="false">J100</f>
        <v>2778.75328630495</v>
      </c>
      <c r="K5" s="70" t="n">
        <f aca="false">K100</f>
        <v>2838.46478300999</v>
      </c>
      <c r="L5" s="70" t="n">
        <f aca="false">L100</f>
        <v>2901.24863397947</v>
      </c>
      <c r="M5" s="70" t="n">
        <f aca="false">M100</f>
        <v>2967.33628451596</v>
      </c>
      <c r="N5" s="70" t="n">
        <f aca="false">N100</f>
        <v>3036.9787460443</v>
      </c>
      <c r="O5" s="70" t="n">
        <f aca="false">O100</f>
        <v>3110.44829622994</v>
      </c>
      <c r="P5" s="70" t="n">
        <f aca="false">P100</f>
        <v>3188.04032784236</v>
      </c>
      <c r="Q5" s="70" t="n">
        <f aca="false">Q100</f>
        <v>3270.0753594041</v>
      </c>
    </row>
    <row r="6" customFormat="false" ht="15" hidden="false" customHeight="false" outlineLevel="0" collapsed="false">
      <c r="A6" s="67" t="s">
        <v>178</v>
      </c>
      <c r="B6" s="54" t="n">
        <v>0</v>
      </c>
      <c r="C6" s="54" t="n">
        <v>0</v>
      </c>
      <c r="D6" s="54" t="n">
        <v>0</v>
      </c>
      <c r="E6" s="54" t="n">
        <v>0</v>
      </c>
      <c r="F6" s="54" t="n">
        <v>623</v>
      </c>
      <c r="G6" s="89" t="n">
        <v>607</v>
      </c>
      <c r="H6" s="70" t="n">
        <f aca="false">H107</f>
        <v>607</v>
      </c>
      <c r="I6" s="70" t="n">
        <f aca="false">I107</f>
        <v>607</v>
      </c>
      <c r="J6" s="70" t="n">
        <f aca="false">J107</f>
        <v>607</v>
      </c>
      <c r="K6" s="70" t="n">
        <f aca="false">K107</f>
        <v>607</v>
      </c>
      <c r="L6" s="70" t="n">
        <f aca="false">L107</f>
        <v>607</v>
      </c>
      <c r="M6" s="70" t="n">
        <f aca="false">M107</f>
        <v>607</v>
      </c>
      <c r="N6" s="70" t="n">
        <f aca="false">N107</f>
        <v>607</v>
      </c>
      <c r="O6" s="70" t="n">
        <f aca="false">O107</f>
        <v>607</v>
      </c>
      <c r="P6" s="70" t="n">
        <f aca="false">P107</f>
        <v>607</v>
      </c>
      <c r="Q6" s="70" t="n">
        <f aca="false">Q107</f>
        <v>607</v>
      </c>
    </row>
    <row r="7" customFormat="false" ht="15" hidden="false" customHeight="false" outlineLevel="0" collapsed="false">
      <c r="A7" s="67" t="s">
        <v>179</v>
      </c>
      <c r="B7" s="54" t="n">
        <v>441</v>
      </c>
      <c r="C7" s="54" t="n">
        <v>448</v>
      </c>
      <c r="D7" s="54" t="n">
        <v>432</v>
      </c>
      <c r="E7" s="54" t="n">
        <v>397</v>
      </c>
      <c r="F7" s="54" t="n">
        <v>706</v>
      </c>
      <c r="G7" s="89" t="n">
        <v>810</v>
      </c>
      <c r="H7" s="54" t="n">
        <v>0</v>
      </c>
      <c r="I7" s="54" t="n">
        <v>0</v>
      </c>
      <c r="J7" s="54" t="n">
        <v>0</v>
      </c>
      <c r="K7" s="54" t="n">
        <v>0</v>
      </c>
      <c r="L7" s="54" t="n">
        <v>0</v>
      </c>
      <c r="M7" s="54" t="n">
        <v>0</v>
      </c>
      <c r="N7" s="54" t="n">
        <v>0</v>
      </c>
      <c r="O7" s="54" t="n">
        <v>0</v>
      </c>
      <c r="P7" s="54" t="n">
        <v>0</v>
      </c>
      <c r="Q7" s="54" t="n">
        <v>0</v>
      </c>
      <c r="R7" s="54"/>
    </row>
    <row r="8" customFormat="false" ht="15" hidden="false" customHeight="false" outlineLevel="0" collapsed="false">
      <c r="A8" s="67" t="s">
        <v>180</v>
      </c>
      <c r="B8" s="54" t="n">
        <v>29</v>
      </c>
      <c r="C8" s="54" t="n">
        <v>58</v>
      </c>
      <c r="D8" s="54" t="n">
        <v>136</v>
      </c>
      <c r="E8" s="54" t="n">
        <v>63</v>
      </c>
      <c r="F8" s="54" t="n">
        <v>0</v>
      </c>
      <c r="G8" s="89" t="n">
        <v>171</v>
      </c>
      <c r="H8" s="70" t="n">
        <f aca="false">H114</f>
        <v>840.615743623599</v>
      </c>
      <c r="I8" s="70" t="n">
        <f aca="false">I114</f>
        <v>856.980533425193</v>
      </c>
      <c r="J8" s="70" t="n">
        <f aca="false">J114</f>
        <v>874.149220427646</v>
      </c>
      <c r="K8" s="70" t="n">
        <f aca="false">K114</f>
        <v>892.181258859864</v>
      </c>
      <c r="L8" s="70" t="n">
        <f aca="false">L114</f>
        <v>911.141105389869</v>
      </c>
      <c r="M8" s="70" t="n">
        <f aca="false">M114</f>
        <v>931.098653268053</v>
      </c>
      <c r="N8" s="70" t="n">
        <f aca="false">N114</f>
        <v>952.129704440605</v>
      </c>
      <c r="O8" s="70" t="n">
        <f aca="false">O114</f>
        <v>974.316482961491</v>
      </c>
      <c r="P8" s="70" t="n">
        <f aca="false">P114</f>
        <v>997.748193323407</v>
      </c>
      <c r="Q8" s="70" t="n">
        <f aca="false">Q114</f>
        <v>1022.52162764573</v>
      </c>
    </row>
    <row r="9" customFormat="false" ht="15" hidden="false" customHeight="false" outlineLevel="0" collapsed="false">
      <c r="A9" s="67" t="s">
        <v>181</v>
      </c>
      <c r="B9" s="54" t="n">
        <v>0</v>
      </c>
      <c r="C9" s="54" t="n">
        <v>0</v>
      </c>
      <c r="D9" s="54" t="n">
        <v>0</v>
      </c>
      <c r="E9" s="54" t="n">
        <v>144</v>
      </c>
      <c r="F9" s="54" t="n">
        <v>544</v>
      </c>
      <c r="G9" s="89" t="n">
        <v>63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</row>
    <row r="10" customFormat="false" ht="15" hidden="false" customHeight="false" outlineLevel="0" collapsed="false">
      <c r="A10" s="67" t="s">
        <v>182</v>
      </c>
      <c r="B10" s="54" t="n">
        <v>235</v>
      </c>
      <c r="C10" s="54" t="n">
        <v>304</v>
      </c>
      <c r="D10" s="54" t="n">
        <v>307</v>
      </c>
      <c r="E10" s="54" t="n">
        <v>398</v>
      </c>
      <c r="F10" s="54" t="n">
        <v>377</v>
      </c>
      <c r="G10" s="89" t="n">
        <v>635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5" hidden="false" customHeight="false" outlineLevel="0" collapsed="false">
      <c r="A11" s="67" t="s">
        <v>183</v>
      </c>
      <c r="B11" s="54" t="n">
        <v>-17</v>
      </c>
      <c r="C11" s="54" t="n">
        <v>-18</v>
      </c>
      <c r="D11" s="54" t="n">
        <v>-18</v>
      </c>
      <c r="E11" s="54" t="n">
        <v>-13</v>
      </c>
      <c r="F11" s="54" t="n">
        <v>-43</v>
      </c>
      <c r="G11" s="89" t="n">
        <v>-44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</row>
    <row r="12" customFormat="false" ht="15" hidden="false" customHeight="false" outlineLevel="0" collapsed="false">
      <c r="A12" s="0" t="s">
        <v>184</v>
      </c>
      <c r="B12" s="54" t="n">
        <v>1000</v>
      </c>
      <c r="C12" s="54" t="n">
        <v>959</v>
      </c>
      <c r="D12" s="54" t="n">
        <v>1039</v>
      </c>
      <c r="E12" s="54" t="n">
        <v>1061</v>
      </c>
      <c r="F12" s="54" t="n">
        <v>1462</v>
      </c>
      <c r="G12" s="89" t="n">
        <v>1438</v>
      </c>
      <c r="H12" s="70" t="n">
        <f aca="false">H121</f>
        <v>1468.7419288778</v>
      </c>
      <c r="I12" s="70" t="n">
        <f aca="false">I121</f>
        <v>1500.95846728333</v>
      </c>
      <c r="J12" s="70" t="n">
        <f aca="false">J121</f>
        <v>1534.75759766589</v>
      </c>
      <c r="K12" s="70" t="n">
        <f aca="false">K121</f>
        <v>1570.2563645749</v>
      </c>
      <c r="L12" s="70" t="n">
        <f aca="false">L121</f>
        <v>1607.58166061001</v>
      </c>
      <c r="M12" s="70" t="n">
        <f aca="false">M121</f>
        <v>1646.87108109712</v>
      </c>
      <c r="N12" s="70" t="n">
        <f aca="false">N121</f>
        <v>1688.27385351423</v>
      </c>
      <c r="O12" s="70" t="n">
        <f aca="false">O121</f>
        <v>1731.95184821989</v>
      </c>
      <c r="P12" s="70" t="n">
        <f aca="false">P121</f>
        <v>1778.08067761119</v>
      </c>
      <c r="Q12" s="70" t="n">
        <f aca="false">Q121</f>
        <v>1826.85089146412</v>
      </c>
    </row>
    <row r="13" customFormat="false" ht="15" hidden="false" customHeight="false" outlineLevel="0" collapsed="false">
      <c r="A13" s="0" t="s">
        <v>185</v>
      </c>
      <c r="B13" s="54" t="n">
        <v>1819</v>
      </c>
      <c r="C13" s="54" t="n">
        <v>1339</v>
      </c>
      <c r="D13" s="54" t="n">
        <v>930</v>
      </c>
      <c r="E13" s="54" t="n">
        <v>868</v>
      </c>
      <c r="F13" s="54" t="n">
        <v>689</v>
      </c>
      <c r="G13" s="89" t="n">
        <v>594</v>
      </c>
      <c r="H13" s="70" t="n">
        <f aca="false">H128</f>
        <v>618.349540633456</v>
      </c>
      <c r="I13" s="70" t="n">
        <f aca="false">I128</f>
        <v>643.884682977193</v>
      </c>
      <c r="J13" s="70" t="n">
        <f aca="false">J128</f>
        <v>670.692617187004</v>
      </c>
      <c r="K13" s="70" t="n">
        <f aca="false">K128</f>
        <v>698.867855966848</v>
      </c>
      <c r="L13" s="70" t="n">
        <f aca="false">L128</f>
        <v>728.512869717598</v>
      </c>
      <c r="M13" s="70" t="n">
        <f aca="false">M128</f>
        <v>759.738777226037</v>
      </c>
      <c r="N13" s="70" t="n">
        <f aca="false">N128</f>
        <v>792.666096762371</v>
      </c>
      <c r="O13" s="70" t="n">
        <f aca="false">O128</f>
        <v>827.425562881582</v>
      </c>
      <c r="P13" s="70" t="n">
        <f aca="false">P128</f>
        <v>864.159014688495</v>
      </c>
      <c r="Q13" s="70" t="n">
        <f aca="false">Q128</f>
        <v>903.020361831776</v>
      </c>
    </row>
    <row r="14" customFormat="false" ht="15" hidden="false" customHeight="false" outlineLevel="0" collapsed="false">
      <c r="A14" s="52" t="s">
        <v>186</v>
      </c>
      <c r="B14" s="54" t="n">
        <v>165</v>
      </c>
      <c r="C14" s="54" t="n">
        <v>171</v>
      </c>
      <c r="D14" s="54" t="n">
        <v>177</v>
      </c>
      <c r="E14" s="54" t="n">
        <v>178</v>
      </c>
      <c r="F14" s="54" t="n">
        <v>0</v>
      </c>
      <c r="G14" s="89" t="n">
        <v>0</v>
      </c>
      <c r="H14" s="70" t="n">
        <f aca="false">H149</f>
        <v>832.628301631264</v>
      </c>
      <c r="I14" s="70" t="n">
        <f aca="false">I149</f>
        <v>851.102186558444</v>
      </c>
      <c r="J14" s="70" t="n">
        <f aca="false">J149</f>
        <v>870.483575007638</v>
      </c>
      <c r="K14" s="70" t="n">
        <f aca="false">K149</f>
        <v>890.839583672464</v>
      </c>
      <c r="L14" s="70" t="n">
        <f aca="false">L149</f>
        <v>912.242976400319</v>
      </c>
      <c r="M14" s="70" t="n">
        <f aca="false">M149</f>
        <v>934.772654288047</v>
      </c>
      <c r="N14" s="70" t="n">
        <f aca="false">N149</f>
        <v>958.514188641365</v>
      </c>
      <c r="O14" s="70" t="n">
        <f aca="false">O149</f>
        <v>983.56040055542</v>
      </c>
      <c r="P14" s="70" t="n">
        <f aca="false">P149</f>
        <v>1010.01199120346</v>
      </c>
      <c r="Q14" s="70" t="n">
        <f aca="false">Q149</f>
        <v>1037.97822727923</v>
      </c>
    </row>
    <row r="15" customFormat="false" ht="15" hidden="false" customHeight="false" outlineLevel="0" collapsed="false">
      <c r="A15" s="0" t="s">
        <v>187</v>
      </c>
      <c r="B15" s="54" t="n">
        <v>0</v>
      </c>
      <c r="C15" s="54" t="n">
        <v>0</v>
      </c>
      <c r="D15" s="54" t="n">
        <v>0</v>
      </c>
      <c r="E15" s="54" t="n">
        <v>0</v>
      </c>
      <c r="F15" s="54" t="n">
        <v>631</v>
      </c>
      <c r="G15" s="89" t="n">
        <v>595</v>
      </c>
      <c r="H15" s="70" t="n">
        <f aca="false">H135</f>
        <v>592.599854943058</v>
      </c>
      <c r="I15" s="70" t="n">
        <f aca="false">I135</f>
        <v>592.599854943058</v>
      </c>
      <c r="J15" s="70" t="n">
        <f aca="false">J135</f>
        <v>592.599854943058</v>
      </c>
      <c r="K15" s="70" t="n">
        <f aca="false">K135</f>
        <v>592.599854943058</v>
      </c>
      <c r="L15" s="70" t="n">
        <f aca="false">L135</f>
        <v>592.599854943058</v>
      </c>
      <c r="M15" s="70" t="n">
        <f aca="false">M135</f>
        <v>592.599854943058</v>
      </c>
      <c r="N15" s="70" t="n">
        <f aca="false">N135</f>
        <v>592.599854943058</v>
      </c>
      <c r="O15" s="70" t="n">
        <f aca="false">O135</f>
        <v>592.599854943058</v>
      </c>
      <c r="P15" s="70" t="n">
        <f aca="false">P135</f>
        <v>592.599854943058</v>
      </c>
      <c r="Q15" s="70" t="n">
        <f aca="false">Q135</f>
        <v>592.599854943058</v>
      </c>
    </row>
    <row r="16" customFormat="false" ht="15" hidden="false" customHeight="false" outlineLevel="0" collapsed="false">
      <c r="A16" s="0" t="s">
        <v>188</v>
      </c>
      <c r="B16" s="54" t="n">
        <v>657</v>
      </c>
      <c r="C16" s="54" t="n">
        <v>278</v>
      </c>
      <c r="D16" s="54" t="n">
        <v>665</v>
      </c>
      <c r="E16" s="54" t="n">
        <v>495</v>
      </c>
      <c r="F16" s="54" t="n">
        <v>364</v>
      </c>
      <c r="G16" s="89" t="n">
        <v>452</v>
      </c>
      <c r="H16" s="70" t="n">
        <f aca="false">H142</f>
        <v>473.877944669088</v>
      </c>
      <c r="I16" s="70" t="n">
        <f aca="false">I142</f>
        <v>494.177297696831</v>
      </c>
      <c r="J16" s="70" t="n">
        <f aca="false">J142</f>
        <v>515.520502496921</v>
      </c>
      <c r="K16" s="70" t="n">
        <f aca="false">K142</f>
        <v>537.969725036527</v>
      </c>
      <c r="L16" s="70" t="n">
        <f aca="false">L142</f>
        <v>561.591185455898</v>
      </c>
      <c r="M16" s="70" t="n">
        <f aca="false">M142</f>
        <v>586.455442356185</v>
      </c>
      <c r="N16" s="70" t="n">
        <f aca="false">N142</f>
        <v>612.637698301014</v>
      </c>
      <c r="O16" s="70" t="n">
        <f aca="false">O142</f>
        <v>640.218128196878</v>
      </c>
      <c r="P16" s="70" t="n">
        <f aca="false">P142</f>
        <v>669.282232353156</v>
      </c>
      <c r="Q16" s="70" t="n">
        <f aca="false">Q142</f>
        <v>699.921216169692</v>
      </c>
    </row>
    <row r="17" customFormat="false" ht="15" hidden="false" customHeight="false" outlineLevel="0" collapsed="false">
      <c r="A17" s="0" t="s">
        <v>189</v>
      </c>
      <c r="B17" s="54" t="n">
        <v>0</v>
      </c>
      <c r="C17" s="54" t="n">
        <v>143</v>
      </c>
      <c r="D17" s="54" t="n">
        <v>0</v>
      </c>
      <c r="E17" s="54" t="n">
        <v>0</v>
      </c>
      <c r="F17" s="54" t="n">
        <v>0</v>
      </c>
      <c r="G17" s="89" t="n">
        <v>0</v>
      </c>
    </row>
    <row r="18" customFormat="false" ht="15" hidden="false" customHeight="false" outlineLevel="0" collapsed="false">
      <c r="A18" s="0" t="s">
        <v>190</v>
      </c>
      <c r="B18" s="54" t="n">
        <v>163</v>
      </c>
      <c r="C18" s="54" t="n">
        <v>207</v>
      </c>
      <c r="D18" s="54" t="n">
        <v>346</v>
      </c>
      <c r="E18" s="54" t="n">
        <v>402</v>
      </c>
      <c r="F18" s="54" t="n">
        <v>581</v>
      </c>
      <c r="G18" s="89" t="n">
        <v>604</v>
      </c>
    </row>
    <row r="19" customFormat="false" ht="15" hidden="false" customHeight="false" outlineLevel="0" collapsed="false">
      <c r="A19" s="0" t="s">
        <v>191</v>
      </c>
      <c r="B19" s="54" t="n">
        <v>74</v>
      </c>
      <c r="C19" s="54" t="n">
        <v>39</v>
      </c>
      <c r="D19" s="54" t="n">
        <v>50</v>
      </c>
      <c r="E19" s="54" t="n">
        <v>71</v>
      </c>
      <c r="F19" s="54" t="n">
        <v>230</v>
      </c>
      <c r="G19" s="89" t="n">
        <v>211</v>
      </c>
    </row>
    <row r="20" customFormat="false" ht="15" hidden="false" customHeight="false" outlineLevel="0" collapsed="false">
      <c r="A20" s="99" t="s">
        <v>192</v>
      </c>
      <c r="B20" s="100" t="n">
        <f aca="false">B3+B5+B6+B7+B8+B9+B10+B11+B12+B13+B14+B15+B16+B17+B18+B19</f>
        <v>6162</v>
      </c>
      <c r="C20" s="100" t="n">
        <f aca="false">C3+C5+C6+C7+C8+C9+C10+C11+C12+C13+C14+C15+C16+C17+C18+C19</f>
        <v>5614</v>
      </c>
      <c r="D20" s="100" t="n">
        <f aca="false">D3+D5+D6+D7+D8+D9+D10+D11+D12+D13+D14+D15+D16+D17+D18+D19</f>
        <v>5864</v>
      </c>
      <c r="E20" s="100" t="n">
        <f aca="false">E3+E5+E6+E7+E8+E9+E10+E11+E12+E13+E14+E15+E16+E17+E18+E19</f>
        <v>6526</v>
      </c>
      <c r="F20" s="100" t="n">
        <f aca="false">F3+F5+F6+F7+F8+F9+F10+F11+F12+F13+F14+F15+F16+F17+F18+F19</f>
        <v>9722</v>
      </c>
      <c r="G20" s="101" t="n">
        <f aca="false">G3+G5+G6+G7+G8+G9+G10+G11+G12+G13+G14+G15+G16+G17+G18+G19</f>
        <v>10072</v>
      </c>
      <c r="H20" s="100" t="n">
        <f aca="false">H3+H5+H6+H7+H8+H9+H10+H11+H12+H13+H14+H15+H16+H17+H18+H19</f>
        <v>10231.5234650322</v>
      </c>
      <c r="I20" s="100" t="n">
        <f aca="false">I3+I5+I6+I7+I8+I9+I10+I11+I12+I13+I14+I15+I16+I17+I18+I19</f>
        <v>10398.6037242064</v>
      </c>
      <c r="J20" s="100" t="n">
        <f aca="false">J3+J5+J6+J7+J8+J9+J10+J11+J12+J13+J14+J15+J16+J17+J18+J19</f>
        <v>10573.9566540331</v>
      </c>
      <c r="K20" s="100" t="n">
        <f aca="false">K3+K5+K6+K7+K8+K9+K10+K11+K12+K13+K14+K15+K16+K17+K18+K19</f>
        <v>10758.1794260636</v>
      </c>
      <c r="L20" s="100" t="n">
        <f aca="false">L3+L5+L6+L7+L8+L9+L10+L11+L12+L13+L14+L15+L16+L17+L18+L19</f>
        <v>10951.9182864962</v>
      </c>
      <c r="M20" s="100" t="n">
        <f aca="false">M3+M5+M6+M7+M8+M9+M10+M11+M12+M13+M14+M15+M16+M17+M18+M19</f>
        <v>11155.8727476945</v>
      </c>
      <c r="N20" s="100" t="n">
        <f aca="false">N3+N5+N6+N7+N8+N9+N10+N11+N12+N13+N14+N15+N16+N17+N18+N19</f>
        <v>11370.8001426469</v>
      </c>
      <c r="O20" s="100" t="n">
        <f aca="false">O3+O5+O6+O7+O8+O9+O10+O11+O12+O13+O14+O15+O16+O17+O18+O19</f>
        <v>11597.5205739883</v>
      </c>
      <c r="P20" s="100" t="n">
        <f aca="false">P3+P5+P6+P7+P8+P9+P10+P11+P12+P13+P14+P15+P16+P17+P18+P19</f>
        <v>11836.9222919651</v>
      </c>
      <c r="Q20" s="100" t="n">
        <f aca="false">Q3+Q5+Q6+Q7+Q8+Q9+Q10+Q11+Q12+Q13+Q14+Q15+Q16+Q17+Q18+Q19</f>
        <v>12089.9675387377</v>
      </c>
    </row>
    <row r="21" customFormat="false" ht="15" hidden="false" customHeight="false" outlineLevel="0" collapsed="false">
      <c r="A21" s="51" t="s">
        <v>166</v>
      </c>
      <c r="B21" s="54"/>
      <c r="C21" s="54"/>
      <c r="D21" s="54"/>
      <c r="E21" s="54"/>
      <c r="F21" s="54"/>
      <c r="G21" s="89"/>
    </row>
    <row r="22" customFormat="false" ht="15" hidden="false" customHeight="false" outlineLevel="0" collapsed="false">
      <c r="A22" s="0" t="s">
        <v>167</v>
      </c>
      <c r="B22" s="54" t="n">
        <v>63251</v>
      </c>
      <c r="C22" s="54" t="n">
        <v>66021</v>
      </c>
      <c r="D22" s="54" t="n">
        <v>70013</v>
      </c>
      <c r="E22" s="54" t="n">
        <v>75118</v>
      </c>
      <c r="F22" s="54" t="n">
        <v>98416</v>
      </c>
      <c r="G22" s="89" t="n">
        <v>103542</v>
      </c>
      <c r="H22" s="70" t="n">
        <f aca="false">G22*(1+Inputs!M37)</f>
        <v>109476.49524265</v>
      </c>
      <c r="I22" s="70" t="n">
        <f aca="false">H22*(1+Inputs!N37)</f>
        <v>115751.125249792</v>
      </c>
      <c r="J22" s="70" t="n">
        <f aca="false">I22*(1+Inputs!O37)</f>
        <v>122385.384797863</v>
      </c>
      <c r="K22" s="70" t="n">
        <f aca="false">J22*(1+Inputs!P37)</f>
        <v>129399.886003681</v>
      </c>
      <c r="L22" s="70" t="n">
        <f aca="false">K22*(1+Inputs!Q37)</f>
        <v>136816.422364658</v>
      </c>
      <c r="M22" s="70" t="n">
        <f aca="false">L22*(1+Inputs!R37)</f>
        <v>144658.036469461</v>
      </c>
      <c r="N22" s="70" t="n">
        <f aca="false">M22*(1+Inputs!S37)</f>
        <v>152949.0915895</v>
      </c>
      <c r="O22" s="70" t="n">
        <f aca="false">N22*(1+Inputs!T37)</f>
        <v>161715.34737368</v>
      </c>
      <c r="P22" s="70" t="n">
        <f aca="false">O22*(1+Inputs!U37)</f>
        <v>170984.039881576</v>
      </c>
      <c r="Q22" s="70" t="n">
        <f aca="false">P22*(1+Inputs!V37)</f>
        <v>180783.966203709</v>
      </c>
    </row>
    <row r="23" customFormat="false" ht="15" hidden="false" customHeight="false" outlineLevel="0" collapsed="false">
      <c r="A23" s="63" t="s">
        <v>168</v>
      </c>
      <c r="B23" s="54" t="n">
        <v>21964</v>
      </c>
      <c r="C23" s="54" t="n">
        <v>23059</v>
      </c>
      <c r="D23" s="54" t="n">
        <v>24059</v>
      </c>
      <c r="E23" s="54" t="n">
        <v>24253</v>
      </c>
      <c r="F23" s="54" t="n">
        <v>29852</v>
      </c>
      <c r="G23" s="89" t="n">
        <v>31457</v>
      </c>
      <c r="H23" s="70" t="n">
        <f aca="false">H156</f>
        <v>35533.9452544491</v>
      </c>
      <c r="I23" s="70" t="n">
        <f aca="false">I156</f>
        <v>37570.5683548829</v>
      </c>
      <c r="J23" s="70" t="n">
        <f aca="false">J156</f>
        <v>39723.9202233587</v>
      </c>
      <c r="K23" s="70" t="n">
        <f aca="false">K156</f>
        <v>42000.6911528842</v>
      </c>
      <c r="L23" s="70" t="n">
        <f aca="false">L156</f>
        <v>44407.9548896752</v>
      </c>
      <c r="M23" s="70" t="n">
        <f aca="false">M156</f>
        <v>46953.1906107217</v>
      </c>
      <c r="N23" s="70" t="n">
        <f aca="false">N156</f>
        <v>49644.3061609967</v>
      </c>
      <c r="O23" s="70" t="n">
        <f aca="false">O156</f>
        <v>52489.6626225012</v>
      </c>
      <c r="P23" s="70" t="n">
        <f aca="false">P156</f>
        <v>55498.1002914813</v>
      </c>
      <c r="Q23" s="70" t="n">
        <f aca="false">Q156</f>
        <v>58678.9661445257</v>
      </c>
    </row>
    <row r="24" customFormat="false" ht="15" hidden="false" customHeight="false" outlineLevel="0" collapsed="false">
      <c r="A24" s="65" t="s">
        <v>169</v>
      </c>
      <c r="B24" s="97" t="n">
        <f aca="false">B22-B23</f>
        <v>41287</v>
      </c>
      <c r="C24" s="97" t="n">
        <f aca="false">C22-C23</f>
        <v>42962</v>
      </c>
      <c r="D24" s="97" t="n">
        <f aca="false">D22-D23</f>
        <v>45954</v>
      </c>
      <c r="E24" s="97" t="n">
        <f aca="false">E22-E23</f>
        <v>50865</v>
      </c>
      <c r="F24" s="97" t="n">
        <f aca="false">F22-F23</f>
        <v>68564</v>
      </c>
      <c r="G24" s="98" t="n">
        <f aca="false">G22-G23</f>
        <v>72085</v>
      </c>
      <c r="H24" s="97" t="n">
        <f aca="false">H22-H23</f>
        <v>73942.549988201</v>
      </c>
      <c r="I24" s="97" t="n">
        <f aca="false">I22-I23</f>
        <v>78180.5568949094</v>
      </c>
      <c r="J24" s="97" t="n">
        <f aca="false">J22-J23</f>
        <v>82661.4645745039</v>
      </c>
      <c r="K24" s="97" t="n">
        <f aca="false">K22-K23</f>
        <v>87399.1948507965</v>
      </c>
      <c r="L24" s="97" t="n">
        <f aca="false">L22-L23</f>
        <v>92408.4674749828</v>
      </c>
      <c r="M24" s="97" t="n">
        <f aca="false">M22-M23</f>
        <v>97704.8458587389</v>
      </c>
      <c r="N24" s="97" t="n">
        <f aca="false">N22-N23</f>
        <v>103304.785428503</v>
      </c>
      <c r="O24" s="97" t="n">
        <f aca="false">O22-O23</f>
        <v>109225.684751179</v>
      </c>
      <c r="P24" s="97" t="n">
        <f aca="false">P22-P23</f>
        <v>115485.939590095</v>
      </c>
      <c r="Q24" s="97" t="n">
        <f aca="false">Q22-Q23</f>
        <v>122105.000059184</v>
      </c>
    </row>
    <row r="25" customFormat="false" ht="15" hidden="false" customHeight="false" outlineLevel="0" collapsed="false">
      <c r="A25" s="63" t="s">
        <v>170</v>
      </c>
      <c r="B25" s="54" t="n">
        <v>263</v>
      </c>
      <c r="C25" s="54" t="n">
        <v>240</v>
      </c>
      <c r="D25" s="54" t="n">
        <v>211</v>
      </c>
      <c r="E25" s="54" t="n">
        <v>233</v>
      </c>
      <c r="F25" s="54" t="n">
        <v>0</v>
      </c>
      <c r="G25" s="89" t="n">
        <v>0</v>
      </c>
    </row>
    <row r="26" customFormat="false" ht="15" hidden="false" customHeight="false" outlineLevel="0" collapsed="false">
      <c r="A26" s="0" t="s">
        <v>171</v>
      </c>
      <c r="B26" s="54" t="n">
        <v>851</v>
      </c>
      <c r="C26" s="54" t="n">
        <v>855</v>
      </c>
      <c r="D26" s="54" t="n">
        <v>911</v>
      </c>
      <c r="E26" s="54" t="n">
        <v>934</v>
      </c>
      <c r="F26" s="54" t="n">
        <v>905</v>
      </c>
      <c r="G26" s="89" t="n">
        <v>883</v>
      </c>
      <c r="H26" s="70" t="n">
        <f aca="false">G26</f>
        <v>883</v>
      </c>
      <c r="I26" s="70" t="n">
        <f aca="false">H26</f>
        <v>883</v>
      </c>
      <c r="J26" s="70" t="n">
        <f aca="false">I26</f>
        <v>883</v>
      </c>
      <c r="K26" s="70" t="n">
        <f aca="false">J26</f>
        <v>883</v>
      </c>
      <c r="L26" s="70" t="n">
        <f aca="false">K26</f>
        <v>883</v>
      </c>
      <c r="M26" s="70" t="n">
        <f aca="false">L26</f>
        <v>883</v>
      </c>
      <c r="N26" s="70" t="n">
        <f aca="false">M26</f>
        <v>883</v>
      </c>
      <c r="O26" s="70" t="n">
        <f aca="false">N26</f>
        <v>883</v>
      </c>
      <c r="P26" s="70" t="n">
        <f aca="false">O26</f>
        <v>883</v>
      </c>
      <c r="Q26" s="70" t="n">
        <f aca="false">P26</f>
        <v>883</v>
      </c>
    </row>
    <row r="27" customFormat="false" ht="15" hidden="false" customHeight="false" outlineLevel="0" collapsed="false">
      <c r="A27" s="0" t="s">
        <v>172</v>
      </c>
      <c r="B27" s="54" t="n">
        <v>5989</v>
      </c>
      <c r="C27" s="54" t="n">
        <v>7151</v>
      </c>
      <c r="D27" s="54" t="n">
        <v>7792</v>
      </c>
      <c r="E27" s="54" t="n">
        <v>9082</v>
      </c>
      <c r="F27" s="54" t="n">
        <v>8977</v>
      </c>
      <c r="G27" s="89" t="n">
        <v>6904</v>
      </c>
    </row>
    <row r="28" customFormat="false" ht="15" hidden="false" customHeight="false" outlineLevel="0" collapsed="false">
      <c r="A28" s="99" t="s">
        <v>173</v>
      </c>
      <c r="B28" s="100" t="n">
        <f aca="false">B24+B25+B26+B27</f>
        <v>48390</v>
      </c>
      <c r="C28" s="100" t="n">
        <f aca="false">C24+C25+C26+C27</f>
        <v>51208</v>
      </c>
      <c r="D28" s="100" t="n">
        <f aca="false">D24+D25+D26+D27</f>
        <v>54868</v>
      </c>
      <c r="E28" s="100" t="n">
        <f aca="false">E24+E25+E26+E27</f>
        <v>61114</v>
      </c>
      <c r="F28" s="100" t="n">
        <f aca="false">F24+F25+F26+F27</f>
        <v>78446</v>
      </c>
      <c r="G28" s="101" t="n">
        <f aca="false">G24+G25+G26+G27</f>
        <v>79872</v>
      </c>
      <c r="H28" s="100" t="n">
        <f aca="false">H24+H25+H26+H27</f>
        <v>74825.549988201</v>
      </c>
      <c r="I28" s="100" t="n">
        <f aca="false">I24+I25+I26+I27</f>
        <v>79063.5568949094</v>
      </c>
      <c r="J28" s="100" t="n">
        <f aca="false">J24+J25+J26+J27</f>
        <v>83544.4645745039</v>
      </c>
      <c r="K28" s="100" t="n">
        <f aca="false">K24+K25+K26+K27</f>
        <v>88282.1948507965</v>
      </c>
      <c r="L28" s="100" t="n">
        <f aca="false">L24+L25+L26+L27</f>
        <v>93291.4674749828</v>
      </c>
      <c r="M28" s="100" t="n">
        <f aca="false">M24+M25+M26+M27</f>
        <v>98587.8458587389</v>
      </c>
      <c r="N28" s="100" t="n">
        <f aca="false">N24+N25+N26+N27</f>
        <v>104187.785428503</v>
      </c>
      <c r="O28" s="100" t="n">
        <f aca="false">O24+O25+O26+O27</f>
        <v>110108.684751179</v>
      </c>
      <c r="P28" s="100" t="n">
        <f aca="false">P24+P25+P26+P27</f>
        <v>116368.939590095</v>
      </c>
      <c r="Q28" s="100" t="n">
        <f aca="false">Q24+Q25+Q26+Q27</f>
        <v>122988.000059184</v>
      </c>
    </row>
    <row r="29" customFormat="false" ht="15" hidden="false" customHeight="false" outlineLevel="0" collapsed="false">
      <c r="A29" s="51" t="s">
        <v>193</v>
      </c>
      <c r="B29" s="54"/>
      <c r="C29" s="54"/>
      <c r="D29" s="54"/>
      <c r="E29" s="54"/>
      <c r="F29" s="54"/>
      <c r="G29" s="89"/>
    </row>
    <row r="30" customFormat="false" ht="15" hidden="false" customHeight="false" outlineLevel="0" collapsed="false">
      <c r="A30" s="0" t="s">
        <v>194</v>
      </c>
      <c r="B30" s="54"/>
      <c r="C30" s="54"/>
      <c r="D30" s="54"/>
      <c r="E30" s="54"/>
      <c r="F30" s="54" t="n">
        <v>6251</v>
      </c>
      <c r="G30" s="89" t="n">
        <v>6268</v>
      </c>
      <c r="H30" s="70" t="n">
        <f aca="false">G30</f>
        <v>6268</v>
      </c>
      <c r="I30" s="70" t="n">
        <f aca="false">H30</f>
        <v>6268</v>
      </c>
      <c r="J30" s="70" t="n">
        <f aca="false">I30</f>
        <v>6268</v>
      </c>
      <c r="K30" s="70" t="n">
        <f aca="false">J30</f>
        <v>6268</v>
      </c>
      <c r="L30" s="70" t="n">
        <f aca="false">K30</f>
        <v>6268</v>
      </c>
      <c r="M30" s="70" t="n">
        <f aca="false">L30</f>
        <v>6268</v>
      </c>
      <c r="N30" s="70" t="n">
        <f aca="false">M30</f>
        <v>6268</v>
      </c>
      <c r="O30" s="70" t="n">
        <f aca="false">N30</f>
        <v>6268</v>
      </c>
      <c r="P30" s="70" t="n">
        <f aca="false">O30</f>
        <v>6268</v>
      </c>
      <c r="Q30" s="70" t="n">
        <f aca="false">P30</f>
        <v>6268</v>
      </c>
    </row>
    <row r="31" customFormat="false" ht="15" hidden="false" customHeight="false" outlineLevel="0" collapsed="false">
      <c r="A31" s="0" t="s">
        <v>195</v>
      </c>
      <c r="B31" s="54"/>
      <c r="C31" s="54"/>
      <c r="D31" s="54"/>
      <c r="E31" s="54"/>
      <c r="F31" s="54" t="n">
        <v>1549</v>
      </c>
      <c r="G31" s="89" t="n">
        <v>1513</v>
      </c>
      <c r="H31" s="70" t="n">
        <f aca="false">G31</f>
        <v>1513</v>
      </c>
      <c r="I31" s="70" t="n">
        <f aca="false">H31</f>
        <v>1513</v>
      </c>
      <c r="J31" s="70" t="n">
        <f aca="false">I31</f>
        <v>1513</v>
      </c>
      <c r="K31" s="70" t="n">
        <f aca="false">J31</f>
        <v>1513</v>
      </c>
      <c r="L31" s="70" t="n">
        <f aca="false">K31</f>
        <v>1513</v>
      </c>
      <c r="M31" s="70" t="n">
        <f aca="false">L31</f>
        <v>1513</v>
      </c>
      <c r="N31" s="70" t="n">
        <f aca="false">M31</f>
        <v>1513</v>
      </c>
      <c r="O31" s="70" t="n">
        <f aca="false">N31</f>
        <v>1513</v>
      </c>
      <c r="P31" s="70" t="n">
        <f aca="false">O31</f>
        <v>1513</v>
      </c>
      <c r="Q31" s="70" t="n">
        <f aca="false">P31</f>
        <v>1513</v>
      </c>
    </row>
    <row r="32" customFormat="false" ht="15" hidden="false" customHeight="false" outlineLevel="0" collapsed="false">
      <c r="A32" s="0" t="s">
        <v>196</v>
      </c>
      <c r="B32" s="54"/>
      <c r="C32" s="54"/>
      <c r="D32" s="54"/>
      <c r="E32" s="54"/>
      <c r="F32" s="54" t="n">
        <v>970</v>
      </c>
      <c r="G32" s="89" t="n">
        <v>873</v>
      </c>
      <c r="H32" s="70" t="n">
        <f aca="false">AVERAGE($F$32:$G$32)</f>
        <v>921.5</v>
      </c>
      <c r="I32" s="70" t="n">
        <f aca="false">AVERAGE($F$32:$G$32)</f>
        <v>921.5</v>
      </c>
      <c r="J32" s="70" t="n">
        <f aca="false">AVERAGE($F$32:$G$32)</f>
        <v>921.5</v>
      </c>
      <c r="K32" s="70" t="n">
        <f aca="false">AVERAGE($F$32:$G$32)</f>
        <v>921.5</v>
      </c>
      <c r="L32" s="70" t="n">
        <f aca="false">AVERAGE($F$32:$G$32)</f>
        <v>921.5</v>
      </c>
      <c r="M32" s="70" t="n">
        <f aca="false">AVERAGE($F$32:$G$32)</f>
        <v>921.5</v>
      </c>
      <c r="N32" s="70" t="n">
        <f aca="false">AVERAGE($F$32:$G$32)</f>
        <v>921.5</v>
      </c>
      <c r="O32" s="70" t="n">
        <f aca="false">AVERAGE($F$32:$G$32)</f>
        <v>921.5</v>
      </c>
      <c r="P32" s="70" t="n">
        <f aca="false">AVERAGE($F$32:$G$32)</f>
        <v>921.5</v>
      </c>
      <c r="Q32" s="70" t="n">
        <f aca="false">AVERAGE($F$32:$G$32)</f>
        <v>921.5</v>
      </c>
    </row>
    <row r="33" customFormat="false" ht="15" hidden="false" customHeight="false" outlineLevel="0" collapsed="false">
      <c r="A33" s="0" t="s">
        <v>197</v>
      </c>
      <c r="B33" s="54" t="n">
        <v>1303</v>
      </c>
      <c r="C33" s="54" t="n">
        <v>1465</v>
      </c>
      <c r="D33" s="54" t="n">
        <v>1546</v>
      </c>
      <c r="E33" s="54" t="n">
        <v>1512</v>
      </c>
      <c r="F33" s="54" t="n">
        <v>1606</v>
      </c>
      <c r="G33" s="89" t="n">
        <v>1832</v>
      </c>
      <c r="H33" s="70" t="n">
        <f aca="false">H162</f>
        <v>1937.8</v>
      </c>
      <c r="I33" s="70" t="n">
        <f aca="false">I162</f>
        <v>2043.6</v>
      </c>
      <c r="J33" s="70" t="n">
        <f aca="false">J162</f>
        <v>2149.4</v>
      </c>
      <c r="K33" s="70" t="n">
        <f aca="false">K162</f>
        <v>2255.2</v>
      </c>
      <c r="L33" s="70" t="n">
        <f aca="false">L162</f>
        <v>2361</v>
      </c>
      <c r="M33" s="70" t="n">
        <f aca="false">M162</f>
        <v>2466.8</v>
      </c>
      <c r="N33" s="70" t="n">
        <f aca="false">N162</f>
        <v>2572.6</v>
      </c>
      <c r="O33" s="70" t="n">
        <f aca="false">O162</f>
        <v>2678.4</v>
      </c>
      <c r="P33" s="70" t="n">
        <f aca="false">P162</f>
        <v>2784.2</v>
      </c>
      <c r="Q33" s="70" t="n">
        <f aca="false">Q162</f>
        <v>2890</v>
      </c>
    </row>
    <row r="34" customFormat="false" ht="15" hidden="false" customHeight="false" outlineLevel="0" collapsed="false">
      <c r="A34" s="0" t="s">
        <v>198</v>
      </c>
      <c r="B34" s="54" t="n">
        <v>670</v>
      </c>
      <c r="C34" s="54" t="n">
        <v>665</v>
      </c>
      <c r="D34" s="54" t="n">
        <v>743</v>
      </c>
      <c r="E34" s="54" t="n">
        <v>755</v>
      </c>
      <c r="F34" s="54" t="n">
        <v>774</v>
      </c>
      <c r="G34" s="89" t="n">
        <v>775</v>
      </c>
      <c r="H34" s="70" t="n">
        <f aca="false">H169</f>
        <v>815.37276523224</v>
      </c>
      <c r="I34" s="70" t="n">
        <f aca="false">I169</f>
        <v>848.074191690754</v>
      </c>
      <c r="J34" s="70" t="n">
        <f aca="false">J169</f>
        <v>882.45722060824</v>
      </c>
      <c r="K34" s="70" t="n">
        <f aca="false">K169</f>
        <v>918.621998812078</v>
      </c>
      <c r="L34" s="70" t="n">
        <f aca="false">L169</f>
        <v>956.67520423646</v>
      </c>
      <c r="M34" s="70" t="n">
        <f aca="false">M169</f>
        <v>996.730503898427</v>
      </c>
      <c r="N34" s="70" t="n">
        <f aca="false">N169</f>
        <v>1038.9090460484</v>
      </c>
      <c r="O34" s="70" t="n">
        <f aca="false">O169</f>
        <v>1083.33998917753</v>
      </c>
      <c r="P34" s="70" t="n">
        <f aca="false">P169</f>
        <v>1130.16107078295</v>
      </c>
      <c r="Q34" s="70" t="n">
        <f aca="false">Q169</f>
        <v>1179.51921902889</v>
      </c>
    </row>
    <row r="35" customFormat="false" ht="15" hidden="false" customHeight="false" outlineLevel="0" collapsed="false">
      <c r="A35" s="0" t="s">
        <v>199</v>
      </c>
      <c r="B35" s="54" t="n">
        <v>216</v>
      </c>
      <c r="C35" s="54" t="n">
        <v>218</v>
      </c>
      <c r="D35" s="54" t="n">
        <v>203</v>
      </c>
      <c r="E35" s="54" t="n">
        <v>485</v>
      </c>
      <c r="F35" s="54" t="n">
        <v>270</v>
      </c>
      <c r="G35" s="89" t="n">
        <v>249</v>
      </c>
    </row>
    <row r="36" customFormat="false" ht="15" hidden="false" customHeight="false" outlineLevel="0" collapsed="false">
      <c r="A36" s="99" t="s">
        <v>200</v>
      </c>
      <c r="B36" s="100" t="n">
        <f aca="false">B30+B31+B32+B33+B34+B35</f>
        <v>2189</v>
      </c>
      <c r="C36" s="100" t="n">
        <f aca="false">C30+C31+C32+C33+C34+C35</f>
        <v>2348</v>
      </c>
      <c r="D36" s="100" t="n">
        <f aca="false">D30+D31+D32+D33+D34+D35</f>
        <v>2492</v>
      </c>
      <c r="E36" s="100" t="n">
        <f aca="false">E30+E31+E32+E33+E34+E35</f>
        <v>2752</v>
      </c>
      <c r="F36" s="100" t="n">
        <f aca="false">F30+F31+F32+F33+F34+F35</f>
        <v>11420</v>
      </c>
      <c r="G36" s="101" t="n">
        <f aca="false">G30+G31+G32+G33+G34+G35</f>
        <v>11510</v>
      </c>
      <c r="H36" s="100" t="n">
        <f aca="false">H30+H31+H32+H33+H34+H35</f>
        <v>11455.6727652322</v>
      </c>
      <c r="I36" s="100" t="n">
        <f aca="false">I30+I31+I32+I33+I34+I35</f>
        <v>11594.1741916908</v>
      </c>
      <c r="J36" s="100" t="n">
        <f aca="false">J30+J31+J32+J33+J34+J35</f>
        <v>11734.3572206082</v>
      </c>
      <c r="K36" s="100" t="n">
        <f aca="false">K30+K31+K32+K33+K34+K35</f>
        <v>11876.3219988121</v>
      </c>
      <c r="L36" s="100" t="n">
        <f aca="false">L30+L31+L32+L33+L34+L35</f>
        <v>12020.1752042365</v>
      </c>
      <c r="M36" s="100" t="n">
        <f aca="false">M30+M31+M32+M33+M34+M35</f>
        <v>12166.0305038984</v>
      </c>
      <c r="N36" s="100" t="n">
        <f aca="false">N30+N31+N32+N33+N34+N35</f>
        <v>12314.0090460484</v>
      </c>
      <c r="O36" s="100" t="n">
        <f aca="false">O30+O31+O32+O33+O34+O35</f>
        <v>12464.2399891775</v>
      </c>
      <c r="P36" s="100" t="n">
        <f aca="false">P30+P31+P32+P33+P34+P35</f>
        <v>12616.8610707829</v>
      </c>
      <c r="Q36" s="100" t="n">
        <f aca="false">Q30+Q31+Q32+Q33+Q34+Q35</f>
        <v>12772.0192190289</v>
      </c>
    </row>
    <row r="37" customFormat="false" ht="15" hidden="false" customHeight="false" outlineLevel="0" collapsed="false">
      <c r="A37" s="51" t="s">
        <v>201</v>
      </c>
      <c r="B37" s="54"/>
      <c r="C37" s="54"/>
      <c r="D37" s="54"/>
      <c r="E37" s="54"/>
      <c r="F37" s="54"/>
      <c r="G37" s="89"/>
    </row>
    <row r="38" customFormat="false" ht="15" hidden="false" customHeight="false" outlineLevel="0" collapsed="false">
      <c r="A38" s="0" t="s">
        <v>202</v>
      </c>
      <c r="B38" s="54" t="n">
        <v>1385</v>
      </c>
      <c r="C38" s="54" t="n">
        <v>1436</v>
      </c>
      <c r="D38" s="54" t="n">
        <v>1510</v>
      </c>
      <c r="E38" s="54" t="n">
        <v>1560</v>
      </c>
      <c r="F38" s="54" t="n">
        <v>1629</v>
      </c>
      <c r="G38" s="89" t="n">
        <v>825</v>
      </c>
    </row>
    <row r="39" customFormat="false" ht="15" hidden="false" customHeight="false" outlineLevel="0" collapsed="false">
      <c r="A39" s="0" t="s">
        <v>203</v>
      </c>
      <c r="B39" s="54" t="n">
        <v>0</v>
      </c>
      <c r="C39" s="54" t="n">
        <v>419</v>
      </c>
      <c r="D39" s="54" t="n">
        <v>0</v>
      </c>
      <c r="E39" s="54" t="n">
        <v>0</v>
      </c>
      <c r="F39" s="54" t="n">
        <v>0</v>
      </c>
      <c r="G39" s="89" t="n">
        <v>0</v>
      </c>
    </row>
    <row r="40" customFormat="false" ht="15" hidden="false" customHeight="false" outlineLevel="0" collapsed="false">
      <c r="A40" s="0" t="s">
        <v>204</v>
      </c>
      <c r="B40" s="54" t="n">
        <v>133</v>
      </c>
      <c r="C40" s="54" t="n">
        <v>139</v>
      </c>
      <c r="D40" s="54" t="n">
        <v>0</v>
      </c>
      <c r="E40" s="54" t="n">
        <v>0</v>
      </c>
      <c r="F40" s="54" t="n">
        <v>0</v>
      </c>
      <c r="G40" s="89" t="n">
        <v>0</v>
      </c>
    </row>
    <row r="41" customFormat="false" ht="15" hidden="false" customHeight="false" outlineLevel="0" collapsed="false">
      <c r="A41" s="0" t="s">
        <v>205</v>
      </c>
      <c r="B41" s="54" t="n">
        <v>309</v>
      </c>
      <c r="C41" s="54" t="n">
        <v>269</v>
      </c>
      <c r="D41" s="54" t="n">
        <v>243</v>
      </c>
      <c r="E41" s="54" t="n">
        <v>227</v>
      </c>
      <c r="F41" s="54" t="n">
        <v>223</v>
      </c>
      <c r="G41" s="89" t="n">
        <v>206</v>
      </c>
    </row>
    <row r="42" customFormat="false" ht="15" hidden="false" customHeight="false" outlineLevel="0" collapsed="false">
      <c r="A42" s="0" t="s">
        <v>206</v>
      </c>
      <c r="B42" s="54" t="n">
        <v>4032</v>
      </c>
      <c r="C42" s="54" t="n">
        <v>2495</v>
      </c>
      <c r="D42" s="54" t="n">
        <v>4334</v>
      </c>
      <c r="E42" s="54" t="n">
        <v>4989</v>
      </c>
      <c r="F42" s="54" t="n">
        <v>6851</v>
      </c>
      <c r="G42" s="89" t="n">
        <v>6943</v>
      </c>
    </row>
    <row r="43" customFormat="false" ht="15" hidden="false" customHeight="false" outlineLevel="0" collapsed="false">
      <c r="A43" s="0" t="s">
        <v>207</v>
      </c>
      <c r="B43" s="54" t="n">
        <v>0</v>
      </c>
      <c r="C43" s="54" t="n">
        <v>0</v>
      </c>
      <c r="D43" s="54" t="n">
        <v>0</v>
      </c>
      <c r="E43" s="54" t="n">
        <v>413</v>
      </c>
      <c r="F43" s="54" t="n">
        <v>0</v>
      </c>
      <c r="G43" s="89" t="n">
        <v>0</v>
      </c>
    </row>
    <row r="44" customFormat="false" ht="15" hidden="false" customHeight="false" outlineLevel="0" collapsed="false">
      <c r="A44" s="0" t="s">
        <v>208</v>
      </c>
      <c r="B44" s="54" t="n">
        <v>549</v>
      </c>
      <c r="C44" s="54" t="n">
        <v>618</v>
      </c>
      <c r="D44" s="54" t="n">
        <v>922</v>
      </c>
      <c r="E44" s="54" t="n">
        <v>737</v>
      </c>
      <c r="F44" s="54" t="n">
        <v>1406</v>
      </c>
      <c r="G44" s="89" t="n">
        <v>1577</v>
      </c>
    </row>
    <row r="45" customFormat="false" ht="15" hidden="false" customHeight="false" outlineLevel="0" collapsed="false">
      <c r="A45" s="99" t="s">
        <v>209</v>
      </c>
      <c r="B45" s="100" t="n">
        <f aca="false">B38+B39+B40+B41+B42+B43+B44</f>
        <v>6408</v>
      </c>
      <c r="C45" s="100" t="n">
        <f aca="false">C38+C39+C40+C41+C42+C43+C44</f>
        <v>5376</v>
      </c>
      <c r="D45" s="100" t="n">
        <f aca="false">D38+D39+D40+D41+D42+D43+D44</f>
        <v>7009</v>
      </c>
      <c r="E45" s="100" t="n">
        <f aca="false">E38+E39+E40+E41+E42+E43+E44</f>
        <v>7926</v>
      </c>
      <c r="F45" s="100" t="n">
        <f aca="false">F38+F39+F40+F41+F42+F43+F44</f>
        <v>10109</v>
      </c>
      <c r="G45" s="101" t="n">
        <f aca="false">G38+G39+G40+G41+G42+G43+G44</f>
        <v>9551</v>
      </c>
      <c r="H45" s="100" t="n">
        <f aca="false">H38+H39+H40+H41+H42+H43+H44</f>
        <v>0</v>
      </c>
      <c r="I45" s="100" t="n">
        <f aca="false">I38+I39+I40+I41+I42+I43+I44</f>
        <v>0</v>
      </c>
      <c r="J45" s="100" t="n">
        <f aca="false">J38+J39+J40+J41+J42+J43+J44</f>
        <v>0</v>
      </c>
      <c r="K45" s="100" t="n">
        <f aca="false">K38+K39+K40+K41+K42+K43+K44</f>
        <v>0</v>
      </c>
      <c r="L45" s="100" t="n">
        <f aca="false">L38+L39+L40+L41+L42+L43+L44</f>
        <v>0</v>
      </c>
      <c r="M45" s="100" t="n">
        <f aca="false">M38+M39+M40+M41+M42+M43+M44</f>
        <v>0</v>
      </c>
      <c r="N45" s="100" t="n">
        <f aca="false">N38+N39+N40+N41+N42+N43+N44</f>
        <v>0</v>
      </c>
      <c r="O45" s="100" t="n">
        <f aca="false">O38+O39+O40+O41+O42+O43+O44</f>
        <v>0</v>
      </c>
      <c r="P45" s="100" t="n">
        <f aca="false">P38+P39+P40+P41+P42+P43+P44</f>
        <v>0</v>
      </c>
      <c r="Q45" s="100" t="n">
        <f aca="false">Q38+Q39+Q40+Q41+Q42+Q43+Q44</f>
        <v>0</v>
      </c>
    </row>
    <row r="46" customFormat="false" ht="15.75" hidden="false" customHeight="false" outlineLevel="0" collapsed="false">
      <c r="A46" s="104" t="s">
        <v>210</v>
      </c>
      <c r="B46" s="105" t="n">
        <f aca="false">B20+B28+B36+B45</f>
        <v>63149</v>
      </c>
      <c r="C46" s="105" t="n">
        <f aca="false">C20+C28+C36+C45</f>
        <v>64546</v>
      </c>
      <c r="D46" s="105" t="n">
        <f aca="false">D20+D28+D36+D45</f>
        <v>70233</v>
      </c>
      <c r="E46" s="105" t="n">
        <f aca="false">E20+E28+E36+E45</f>
        <v>78318</v>
      </c>
      <c r="F46" s="105" t="n">
        <f aca="false">F20+F28+F36+F45</f>
        <v>109697</v>
      </c>
      <c r="G46" s="106" t="n">
        <f aca="false">G20+G28+G36+G45</f>
        <v>111005</v>
      </c>
      <c r="H46" s="105" t="n">
        <f aca="false">H20+H28+H36+H45</f>
        <v>96512.7462184654</v>
      </c>
      <c r="I46" s="105" t="n">
        <f aca="false">I20+I28+I36+I45</f>
        <v>101056.334810807</v>
      </c>
      <c r="J46" s="105" t="n">
        <f aca="false">J20+J28+J36+J45</f>
        <v>105852.778449145</v>
      </c>
      <c r="K46" s="105" t="n">
        <f aca="false">K20+K28+K36+K45</f>
        <v>110916.696275672</v>
      </c>
      <c r="L46" s="105" t="n">
        <f aca="false">L20+L28+L36+L45</f>
        <v>116263.560965716</v>
      </c>
      <c r="M46" s="105" t="n">
        <f aca="false">M20+M28+M36+M45</f>
        <v>121909.749110332</v>
      </c>
      <c r="N46" s="105" t="n">
        <f aca="false">N20+N28+N36+N45</f>
        <v>127872.594617199</v>
      </c>
      <c r="O46" s="105" t="n">
        <f aca="false">O20+O28+O36+O45</f>
        <v>134170.445314344</v>
      </c>
      <c r="P46" s="105" t="n">
        <f aca="false">P20+P28+P36+P45</f>
        <v>140822.722952843</v>
      </c>
      <c r="Q46" s="105" t="n">
        <f aca="false">Q20+Q28+Q36+Q45</f>
        <v>147849.98681695</v>
      </c>
    </row>
    <row r="47" customFormat="false" ht="15" hidden="false" customHeight="false" outlineLevel="0" collapsed="false">
      <c r="G47" s="0"/>
    </row>
    <row r="48" customFormat="false" ht="15" hidden="false" customHeight="false" outlineLevel="0" collapsed="false">
      <c r="G48" s="0"/>
    </row>
    <row r="49" customFormat="false" ht="15" hidden="false" customHeight="false" outlineLevel="0" collapsed="false">
      <c r="G49" s="0"/>
    </row>
    <row r="50" customFormat="false" ht="15" hidden="false" customHeight="false" outlineLevel="0" collapsed="false">
      <c r="A50" s="107" t="s">
        <v>211</v>
      </c>
      <c r="B50" s="107" t="n">
        <v>2012</v>
      </c>
      <c r="C50" s="107" t="n">
        <v>2013</v>
      </c>
      <c r="D50" s="107" t="n">
        <v>2014</v>
      </c>
      <c r="E50" s="107" t="n">
        <v>2015</v>
      </c>
      <c r="F50" s="107" t="n">
        <v>2016</v>
      </c>
      <c r="G50" s="108" t="n">
        <v>2017</v>
      </c>
      <c r="H50" s="107" t="n">
        <v>2018</v>
      </c>
      <c r="I50" s="107" t="n">
        <v>2019</v>
      </c>
      <c r="J50" s="107" t="n">
        <v>2020</v>
      </c>
      <c r="K50" s="107" t="n">
        <v>2021</v>
      </c>
      <c r="L50" s="107" t="n">
        <v>2022</v>
      </c>
      <c r="M50" s="107" t="n">
        <v>2023</v>
      </c>
      <c r="N50" s="107" t="n">
        <v>2024</v>
      </c>
      <c r="O50" s="107" t="n">
        <v>2025</v>
      </c>
      <c r="P50" s="107" t="n">
        <v>2026</v>
      </c>
      <c r="Q50" s="107" t="n">
        <v>2027</v>
      </c>
    </row>
    <row r="51" customFormat="false" ht="15" hidden="false" customHeight="false" outlineLevel="0" collapsed="false">
      <c r="A51" s="51" t="s">
        <v>54</v>
      </c>
      <c r="G51" s="0"/>
    </row>
    <row r="52" customFormat="false" ht="15" hidden="false" customHeight="false" outlineLevel="0" collapsed="false">
      <c r="A52" s="0" t="s">
        <v>212</v>
      </c>
      <c r="B52" s="54" t="n">
        <v>2335</v>
      </c>
      <c r="C52" s="54" t="n">
        <v>469</v>
      </c>
      <c r="D52" s="54" t="n">
        <v>3329</v>
      </c>
      <c r="E52" s="54" t="n">
        <v>2674</v>
      </c>
      <c r="F52" s="54" t="n">
        <v>2587</v>
      </c>
      <c r="G52" s="89" t="n">
        <v>3892</v>
      </c>
    </row>
    <row r="53" customFormat="false" ht="15" hidden="false" customHeight="false" outlineLevel="0" collapsed="false">
      <c r="A53" s="0" t="s">
        <v>213</v>
      </c>
      <c r="B53" s="54" t="n">
        <v>150</v>
      </c>
      <c r="C53" s="54" t="n">
        <v>150</v>
      </c>
      <c r="D53" s="54" t="n">
        <v>275</v>
      </c>
      <c r="E53" s="54" t="n">
        <v>0</v>
      </c>
      <c r="F53" s="54" t="n">
        <v>0</v>
      </c>
      <c r="G53" s="89" t="n">
        <v>0</v>
      </c>
    </row>
    <row r="54" customFormat="false" ht="15" hidden="false" customHeight="false" outlineLevel="0" collapsed="false">
      <c r="A54" s="0" t="s">
        <v>214</v>
      </c>
      <c r="B54" s="54" t="n">
        <v>825</v>
      </c>
      <c r="C54" s="54" t="n">
        <v>1482</v>
      </c>
      <c r="D54" s="54" t="n">
        <v>803</v>
      </c>
      <c r="E54" s="54" t="n">
        <v>1376</v>
      </c>
      <c r="F54" s="54" t="n">
        <v>2241</v>
      </c>
      <c r="G54" s="89" t="n">
        <v>2439</v>
      </c>
    </row>
    <row r="55" customFormat="false" ht="15" hidden="false" customHeight="false" outlineLevel="0" collapsed="false">
      <c r="A55" s="0" t="s">
        <v>215</v>
      </c>
      <c r="B55" s="54" t="n">
        <v>0</v>
      </c>
      <c r="C55" s="54" t="n">
        <v>0</v>
      </c>
      <c r="D55" s="54" t="n">
        <v>0</v>
      </c>
      <c r="E55" s="54" t="n">
        <v>0</v>
      </c>
      <c r="F55" s="54" t="n">
        <v>597</v>
      </c>
      <c r="G55" s="89" t="n">
        <v>546</v>
      </c>
    </row>
    <row r="56" customFormat="false" ht="15" hidden="false" customHeight="false" outlineLevel="0" collapsed="false">
      <c r="A56" s="0" t="s">
        <v>216</v>
      </c>
      <c r="B56" s="54" t="n">
        <v>1387</v>
      </c>
      <c r="C56" s="54" t="n">
        <v>1376</v>
      </c>
      <c r="D56" s="54" t="n">
        <v>1593</v>
      </c>
      <c r="E56" s="54" t="n">
        <v>1905</v>
      </c>
      <c r="F56" s="54" t="n">
        <v>2228</v>
      </c>
      <c r="G56" s="89" t="n">
        <v>2530</v>
      </c>
      <c r="H56" s="54" t="n">
        <f aca="false">Inputs!M39*('Income Statement'!I10+'Income Statement'!I11+'Income Statement'!I12+'Income Statement'!I13+'Income Statement'!I14)</f>
        <v>2274.95958828219</v>
      </c>
      <c r="I56" s="54" t="n">
        <f aca="false">Inputs!N39*('Income Statement'!J10+'Income Statement'!J11+'Income Statement'!J12+'Income Statement'!J13+'Income Statement'!J14)</f>
        <v>2405.15036830033</v>
      </c>
      <c r="J56" s="54" t="n">
        <f aca="false">Inputs!O39*('Income Statement'!K10+'Income Statement'!K11+'Income Statement'!K12+'Income Statement'!K13+'Income Statement'!K14)</f>
        <v>2570.51744600052</v>
      </c>
      <c r="K56" s="54" t="n">
        <f aca="false">Inputs!P39*('Income Statement'!L10+'Income Statement'!L11+'Income Statement'!L12+'Income Statement'!L13+'Income Statement'!L14)</f>
        <v>2749.50350466357</v>
      </c>
      <c r="L56" s="54" t="n">
        <f aca="false">Inputs!Q39*('Income Statement'!M10+'Income Statement'!M11+'Income Statement'!M12+'Income Statement'!M13+'Income Statement'!M14)</f>
        <v>2827.34169782043</v>
      </c>
      <c r="M56" s="54" t="n">
        <f aca="false">Inputs!R39*('Income Statement'!N10+'Income Statement'!N11+'Income Statement'!N12+'Income Statement'!N13+'Income Statement'!N14)</f>
        <v>2893.52006092736</v>
      </c>
      <c r="N56" s="54" t="n">
        <f aca="false">Inputs!S39*('Income Statement'!O10+'Income Statement'!O11+'Income Statement'!O12+'Income Statement'!O13+'Income Statement'!O14)</f>
        <v>2960.57880846993</v>
      </c>
      <c r="O56" s="54" t="n">
        <f aca="false">Inputs!T39*('Income Statement'!P10+'Income Statement'!P11+'Income Statement'!P12+'Income Statement'!P13+'Income Statement'!P14)</f>
        <v>3098.66396636717</v>
      </c>
      <c r="P56" s="54" t="n">
        <f aca="false">Inputs!U39*('Income Statement'!Q10+'Income Statement'!Q11+'Income Statement'!Q12+'Income Statement'!Q13+'Income Statement'!Q14)</f>
        <v>3238.1390820658</v>
      </c>
      <c r="Q56" s="54" t="n">
        <f aca="false">Inputs!V39*('Income Statement'!R10+'Income Statement'!R11+'Income Statement'!R12+'Income Statement'!R13+'Income Statement'!R14)</f>
        <v>3371.67722851914</v>
      </c>
    </row>
    <row r="57" customFormat="false" ht="15" hidden="false" customHeight="false" outlineLevel="0" collapsed="false">
      <c r="A57" s="0" t="s">
        <v>217</v>
      </c>
      <c r="B57" s="54" t="n">
        <v>370</v>
      </c>
      <c r="C57" s="54" t="n">
        <v>380</v>
      </c>
      <c r="D57" s="54" t="n">
        <v>390</v>
      </c>
      <c r="E57" s="54" t="n">
        <v>404</v>
      </c>
      <c r="F57" s="54" t="n">
        <v>558</v>
      </c>
      <c r="G57" s="89" t="n">
        <v>542</v>
      </c>
    </row>
    <row r="58" customFormat="false" ht="15" hidden="false" customHeight="false" outlineLevel="0" collapsed="false">
      <c r="A58" s="0" t="s">
        <v>218</v>
      </c>
      <c r="B58" s="54"/>
      <c r="C58" s="54"/>
      <c r="D58" s="54"/>
      <c r="E58" s="54"/>
      <c r="F58" s="54"/>
      <c r="G58" s="89"/>
    </row>
    <row r="59" customFormat="false" ht="15" hidden="false" customHeight="false" outlineLevel="0" collapsed="false">
      <c r="A59" s="67" t="s">
        <v>219</v>
      </c>
      <c r="B59" s="54" t="n">
        <v>7</v>
      </c>
      <c r="C59" s="54" t="n">
        <v>13</v>
      </c>
      <c r="D59" s="54" t="n">
        <v>149</v>
      </c>
      <c r="E59" s="54" t="n">
        <v>19</v>
      </c>
      <c r="F59" s="54" t="n">
        <v>193</v>
      </c>
      <c r="G59" s="89" t="n">
        <v>6</v>
      </c>
    </row>
    <row r="60" customFormat="false" ht="15" hidden="false" customHeight="false" outlineLevel="0" collapsed="false">
      <c r="A60" s="67" t="s">
        <v>220</v>
      </c>
      <c r="B60" s="54" t="n">
        <v>2</v>
      </c>
      <c r="C60" s="54" t="n">
        <v>0</v>
      </c>
      <c r="D60" s="54" t="n">
        <v>4</v>
      </c>
      <c r="E60" s="54" t="n">
        <v>370</v>
      </c>
      <c r="F60" s="54" t="n">
        <v>385</v>
      </c>
      <c r="G60" s="89" t="n">
        <v>18</v>
      </c>
      <c r="I60" s="70"/>
    </row>
    <row r="61" customFormat="false" ht="15" hidden="false" customHeight="false" outlineLevel="0" collapsed="false">
      <c r="A61" s="67" t="s">
        <v>221</v>
      </c>
      <c r="B61" s="54" t="n">
        <v>391</v>
      </c>
      <c r="C61" s="54" t="n">
        <v>456</v>
      </c>
      <c r="D61" s="54" t="n">
        <v>487</v>
      </c>
      <c r="E61" s="54" t="n">
        <v>484</v>
      </c>
      <c r="F61" s="54" t="n">
        <v>667</v>
      </c>
      <c r="G61" s="89" t="n">
        <v>613</v>
      </c>
    </row>
    <row r="62" customFormat="false" ht="15" hidden="false" customHeight="false" outlineLevel="0" collapsed="false">
      <c r="A62" s="0" t="s">
        <v>222</v>
      </c>
      <c r="B62" s="54" t="n">
        <v>237</v>
      </c>
      <c r="C62" s="54" t="n">
        <v>251</v>
      </c>
      <c r="D62" s="54" t="n">
        <v>295</v>
      </c>
      <c r="E62" s="54" t="n">
        <v>249</v>
      </c>
      <c r="F62" s="54" t="n">
        <v>518</v>
      </c>
      <c r="G62" s="89" t="n">
        <v>488</v>
      </c>
    </row>
    <row r="63" customFormat="false" ht="15" hidden="false" customHeight="false" outlineLevel="0" collapsed="false">
      <c r="A63" s="52" t="s">
        <v>223</v>
      </c>
      <c r="B63" s="54" t="n">
        <v>212</v>
      </c>
      <c r="C63" s="54" t="n">
        <v>217</v>
      </c>
      <c r="D63" s="54" t="n">
        <v>223</v>
      </c>
      <c r="E63" s="54" t="n">
        <v>228</v>
      </c>
      <c r="F63" s="54" t="n">
        <v>0</v>
      </c>
      <c r="G63" s="89" t="n">
        <v>0</v>
      </c>
    </row>
    <row r="64" customFormat="false" ht="15" hidden="false" customHeight="false" outlineLevel="0" collapsed="false">
      <c r="A64" s="0" t="s">
        <v>224</v>
      </c>
      <c r="B64" s="54" t="n">
        <v>433</v>
      </c>
      <c r="C64" s="54" t="n">
        <v>303</v>
      </c>
      <c r="D64" s="54" t="n">
        <v>576</v>
      </c>
      <c r="E64" s="54" t="n">
        <v>549</v>
      </c>
      <c r="F64" s="54" t="n">
        <v>915</v>
      </c>
      <c r="G64" s="89" t="n">
        <v>959</v>
      </c>
    </row>
    <row r="65" customFormat="false" ht="15" hidden="false" customHeight="false" outlineLevel="0" collapsed="false">
      <c r="A65" s="0" t="s">
        <v>225</v>
      </c>
      <c r="B65" s="54" t="n">
        <v>0</v>
      </c>
      <c r="C65" s="54" t="n">
        <v>0</v>
      </c>
      <c r="D65" s="54" t="n">
        <v>32</v>
      </c>
      <c r="E65" s="54" t="n">
        <v>217</v>
      </c>
      <c r="F65" s="54" t="n">
        <v>378</v>
      </c>
      <c r="G65" s="89" t="n">
        <v>351</v>
      </c>
    </row>
    <row r="66" customFormat="false" ht="15" hidden="false" customHeight="false" outlineLevel="0" collapsed="false">
      <c r="A66" s="0" t="s">
        <v>226</v>
      </c>
      <c r="B66" s="54" t="n">
        <v>75</v>
      </c>
      <c r="C66" s="54" t="n">
        <v>0</v>
      </c>
      <c r="D66" s="54" t="n">
        <v>138</v>
      </c>
      <c r="E66" s="54" t="n">
        <v>156</v>
      </c>
      <c r="F66" s="54" t="n">
        <v>0</v>
      </c>
      <c r="G66" s="89" t="n">
        <v>0</v>
      </c>
    </row>
    <row r="67" customFormat="false" ht="15" hidden="false" customHeight="false" outlineLevel="0" collapsed="false">
      <c r="A67" s="0" t="s">
        <v>227</v>
      </c>
      <c r="B67" s="54" t="n">
        <v>0</v>
      </c>
      <c r="C67" s="54" t="n">
        <v>0</v>
      </c>
      <c r="D67" s="54" t="n">
        <v>0</v>
      </c>
      <c r="E67" s="54" t="n">
        <v>0</v>
      </c>
      <c r="F67" s="54" t="n">
        <v>489</v>
      </c>
      <c r="G67" s="89" t="n">
        <v>5</v>
      </c>
    </row>
    <row r="68" customFormat="false" ht="15" hidden="false" customHeight="false" outlineLevel="0" collapsed="false">
      <c r="A68" s="0" t="s">
        <v>228</v>
      </c>
      <c r="B68" s="54" t="n">
        <v>107</v>
      </c>
      <c r="C68" s="54" t="n">
        <v>82</v>
      </c>
      <c r="D68" s="54" t="n">
        <v>26</v>
      </c>
      <c r="E68" s="54" t="n">
        <v>278</v>
      </c>
      <c r="F68" s="54" t="n">
        <v>236</v>
      </c>
      <c r="G68" s="89" t="n">
        <v>337</v>
      </c>
    </row>
    <row r="69" customFormat="false" ht="15" hidden="false" customHeight="false" outlineLevel="0" collapsed="false">
      <c r="A69" s="0" t="s">
        <v>229</v>
      </c>
      <c r="B69" s="54" t="n">
        <v>0</v>
      </c>
      <c r="C69" s="54" t="n">
        <v>0</v>
      </c>
      <c r="D69" s="54" t="n">
        <v>271</v>
      </c>
      <c r="E69" s="54" t="n">
        <v>0</v>
      </c>
      <c r="F69" s="54" t="n">
        <v>0</v>
      </c>
      <c r="G69" s="89" t="n">
        <v>0</v>
      </c>
    </row>
    <row r="70" customFormat="false" ht="15" hidden="false" customHeight="false" outlineLevel="0" collapsed="false">
      <c r="A70" s="0" t="s">
        <v>230</v>
      </c>
      <c r="B70" s="54" t="n">
        <v>483</v>
      </c>
      <c r="C70" s="54" t="n">
        <v>346</v>
      </c>
      <c r="D70" s="54" t="n">
        <v>374</v>
      </c>
      <c r="E70" s="54" t="n">
        <v>590</v>
      </c>
      <c r="F70" s="54" t="n">
        <v>925</v>
      </c>
      <c r="G70" s="89" t="n">
        <v>868</v>
      </c>
    </row>
    <row r="71" customFormat="false" ht="15" hidden="false" customHeight="false" outlineLevel="0" collapsed="false">
      <c r="A71" s="99" t="s">
        <v>231</v>
      </c>
      <c r="B71" s="100" t="n">
        <f aca="false">B52+B53+B54+B55+B56+B57+B59+B60+B61+B62+B63+B64+B65+B66+B67+B68+B69+B70</f>
        <v>7014</v>
      </c>
      <c r="C71" s="100" t="n">
        <f aca="false">C52+C53+C54+C55+C56+C57+C59+C60+C61+C62+C63+C64+C65+C66+C67+C68+C69+C70</f>
        <v>5525</v>
      </c>
      <c r="D71" s="100" t="n">
        <f aca="false">D52+D53+D54+D55+D56+D57+D59+D60+D61+D62+D63+D64+D65+D66+D67+D68+D69+D70</f>
        <v>8965</v>
      </c>
      <c r="E71" s="100" t="n">
        <f aca="false">E52+E53+E54+E55+E56+E57+E59+E60+E61+E62+E63+E64+E65+E66+E67+E68+E69+E70</f>
        <v>9499</v>
      </c>
      <c r="F71" s="100" t="n">
        <f aca="false">F52+F53+F54+F55+F56+F57+F59+F60+F61+F62+F63+F64+F65+F66+F67+F68+F69+F70</f>
        <v>12917</v>
      </c>
      <c r="G71" s="101" t="n">
        <f aca="false">G52+G53+G54+G55+G56+G57+G59+G60+G61+G62+G63+G64+G65+G66+G67+G68+G69+G70</f>
        <v>13594</v>
      </c>
      <c r="H71" s="100" t="n">
        <f aca="false">H52+H53+H54+H55+H56+H57+H59+H60+H61+H62+H63+H64+H65+H66+H67+H68+H69+H70</f>
        <v>2274.95958828219</v>
      </c>
      <c r="I71" s="100" t="n">
        <f aca="false">I52+I53+I54+I55+I56+I57+I59+I60+I61+I62+I63+I64+I65+I66+I67+I68+I69+I70</f>
        <v>2405.15036830033</v>
      </c>
      <c r="J71" s="100" t="n">
        <f aca="false">J52+J53+J54+J55+J56+J57+J59+J60+J61+J62+J63+J64+J65+J66+J67+J68+J69+J70</f>
        <v>2570.51744600052</v>
      </c>
      <c r="K71" s="100" t="n">
        <f aca="false">K52+K53+K54+K55+K56+K57+K59+K60+K61+K62+K63+K64+K65+K66+K67+K68+K69+K70</f>
        <v>2749.50350466357</v>
      </c>
      <c r="L71" s="100" t="n">
        <f aca="false">L52+L53+L54+L55+L56+L57+L59+L60+L61+L62+L63+L64+L65+L66+L67+L68+L69+L70</f>
        <v>2827.34169782043</v>
      </c>
      <c r="M71" s="100" t="n">
        <f aca="false">M52+M53+M54+M55+M56+M57+M59+M60+M61+M62+M63+M64+M65+M66+M67+M68+M69+M70</f>
        <v>2893.52006092736</v>
      </c>
      <c r="N71" s="100" t="n">
        <f aca="false">N52+N53+N54+N55+N56+N57+N59+N60+N61+N62+N63+N64+N65+N66+N67+N68+N69+N70</f>
        <v>2960.57880846993</v>
      </c>
      <c r="O71" s="100" t="n">
        <f aca="false">O52+O53+O54+O55+O56+O57+O59+O60+O61+O62+O63+O64+O65+O66+O67+O68+O69+O70</f>
        <v>3098.66396636717</v>
      </c>
      <c r="P71" s="100" t="n">
        <f aca="false">P52+P53+P54+P55+P56+P57+P59+P60+P61+P62+P63+P64+P65+P66+P67+P68+P69+P70</f>
        <v>3238.1390820658</v>
      </c>
      <c r="Q71" s="100" t="n">
        <f aca="false">Q52+Q53+Q54+Q55+Q56+Q57+Q59+Q60+Q61+Q62+Q63+Q64+Q65+Q66+Q67+Q68+Q69+Q70</f>
        <v>3371.67722851914</v>
      </c>
    </row>
    <row r="72" customFormat="false" ht="15" hidden="false" customHeight="false" outlineLevel="0" collapsed="false">
      <c r="A72" s="107" t="s">
        <v>232</v>
      </c>
      <c r="B72" s="100" t="n">
        <v>19274</v>
      </c>
      <c r="C72" s="100" t="n">
        <v>21344</v>
      </c>
      <c r="D72" s="100" t="n">
        <v>20644</v>
      </c>
      <c r="E72" s="100" t="n">
        <v>24688</v>
      </c>
      <c r="F72" s="100" t="n">
        <v>42629</v>
      </c>
      <c r="G72" s="101" t="n">
        <v>44462</v>
      </c>
      <c r="H72" s="109"/>
      <c r="I72" s="100"/>
      <c r="J72" s="100"/>
      <c r="K72" s="100"/>
      <c r="L72" s="100"/>
      <c r="M72" s="100"/>
      <c r="N72" s="100"/>
      <c r="O72" s="100"/>
      <c r="P72" s="100"/>
      <c r="Q72" s="100"/>
    </row>
    <row r="73" customFormat="false" ht="15" hidden="false" customHeight="false" outlineLevel="0" collapsed="false">
      <c r="A73" s="51" t="s">
        <v>233</v>
      </c>
      <c r="B73" s="54"/>
      <c r="C73" s="54"/>
      <c r="D73" s="54"/>
      <c r="E73" s="54"/>
      <c r="F73" s="54"/>
      <c r="G73" s="89"/>
    </row>
    <row r="74" customFormat="false" ht="15" hidden="false" customHeight="false" outlineLevel="0" collapsed="false">
      <c r="A74" s="0" t="s">
        <v>234</v>
      </c>
      <c r="B74" s="54" t="n">
        <v>9938</v>
      </c>
      <c r="C74" s="54" t="n">
        <v>10563</v>
      </c>
      <c r="D74" s="54" t="n">
        <v>11082</v>
      </c>
      <c r="E74" s="54" t="n">
        <v>12322</v>
      </c>
      <c r="F74" s="54" t="n">
        <v>14092</v>
      </c>
      <c r="G74" s="89" t="n">
        <v>6842</v>
      </c>
    </row>
    <row r="75" customFormat="false" ht="15" hidden="false" customHeight="false" outlineLevel="0" collapsed="false">
      <c r="A75" s="0" t="s">
        <v>235</v>
      </c>
      <c r="B75" s="54" t="n">
        <v>211</v>
      </c>
      <c r="C75" s="54" t="n">
        <v>203</v>
      </c>
      <c r="D75" s="54" t="n">
        <v>192</v>
      </c>
      <c r="E75" s="54" t="n">
        <v>187</v>
      </c>
      <c r="F75" s="54" t="n">
        <v>219</v>
      </c>
      <c r="G75" s="89" t="n">
        <v>7256</v>
      </c>
    </row>
    <row r="76" customFormat="false" ht="15" hidden="false" customHeight="false" outlineLevel="0" collapsed="false">
      <c r="A76" s="0" t="s">
        <v>236</v>
      </c>
      <c r="B76" s="54" t="n">
        <v>894</v>
      </c>
      <c r="C76" s="54" t="n">
        <v>966</v>
      </c>
      <c r="D76" s="54" t="n">
        <v>1208</v>
      </c>
      <c r="E76" s="54" t="n">
        <v>1219</v>
      </c>
      <c r="F76" s="54" t="n">
        <v>2228</v>
      </c>
      <c r="G76" s="89" t="n">
        <v>2267</v>
      </c>
    </row>
    <row r="77" customFormat="false" ht="15" hidden="false" customHeight="false" outlineLevel="0" collapsed="false">
      <c r="A77" s="0" t="s">
        <v>237</v>
      </c>
      <c r="B77" s="54" t="n">
        <v>2540</v>
      </c>
      <c r="C77" s="54" t="n">
        <v>1461</v>
      </c>
      <c r="D77" s="54" t="n">
        <v>2432</v>
      </c>
      <c r="E77" s="54" t="n">
        <v>2582</v>
      </c>
      <c r="F77" s="54" t="n">
        <v>2299</v>
      </c>
      <c r="G77" s="89" t="n">
        <v>2256</v>
      </c>
    </row>
    <row r="78" customFormat="false" ht="15" hidden="false" customHeight="false" outlineLevel="0" collapsed="false">
      <c r="A78" s="0" t="s">
        <v>238</v>
      </c>
      <c r="B78" s="54" t="n">
        <v>1748</v>
      </c>
      <c r="C78" s="54" t="n">
        <v>2006</v>
      </c>
      <c r="D78" s="54" t="n">
        <v>2168</v>
      </c>
      <c r="E78" s="54" t="n">
        <v>3542</v>
      </c>
      <c r="F78" s="54" t="n">
        <v>4136</v>
      </c>
      <c r="G78" s="89" t="n">
        <v>4473</v>
      </c>
    </row>
    <row r="79" customFormat="false" ht="15" hidden="false" customHeight="false" outlineLevel="0" collapsed="false">
      <c r="A79" s="0" t="s">
        <v>239</v>
      </c>
      <c r="B79" s="54" t="n">
        <v>0</v>
      </c>
      <c r="C79" s="54" t="n">
        <v>0</v>
      </c>
      <c r="D79" s="54" t="n">
        <v>0</v>
      </c>
      <c r="E79" s="54" t="n">
        <v>0</v>
      </c>
      <c r="F79" s="54" t="n">
        <v>397</v>
      </c>
      <c r="G79" s="89" t="n">
        <v>389</v>
      </c>
    </row>
    <row r="80" customFormat="false" ht="15" hidden="false" customHeight="false" outlineLevel="0" collapsed="false">
      <c r="A80" s="0" t="s">
        <v>240</v>
      </c>
      <c r="B80" s="54" t="n">
        <v>1194</v>
      </c>
      <c r="C80" s="54" t="n">
        <v>1275</v>
      </c>
      <c r="D80" s="54" t="n">
        <v>1215</v>
      </c>
      <c r="E80" s="54" t="n">
        <v>1162</v>
      </c>
      <c r="F80" s="54" t="n">
        <v>2748</v>
      </c>
      <c r="G80" s="89" t="n">
        <v>2684</v>
      </c>
    </row>
    <row r="81" customFormat="false" ht="15" hidden="false" customHeight="false" outlineLevel="0" collapsed="false">
      <c r="A81" s="0" t="s">
        <v>241</v>
      </c>
      <c r="B81" s="54" t="n">
        <v>289</v>
      </c>
      <c r="C81" s="54" t="n">
        <v>479</v>
      </c>
      <c r="D81" s="54" t="n">
        <v>398</v>
      </c>
      <c r="E81" s="54" t="n">
        <v>254</v>
      </c>
      <c r="F81" s="54" t="n">
        <v>258</v>
      </c>
      <c r="G81" s="89" t="n">
        <v>239</v>
      </c>
    </row>
    <row r="82" customFormat="false" ht="15" hidden="false" customHeight="false" outlineLevel="0" collapsed="false">
      <c r="A82" s="0" t="s">
        <v>242</v>
      </c>
      <c r="B82" s="54" t="n">
        <v>668</v>
      </c>
      <c r="C82" s="54" t="n">
        <v>585</v>
      </c>
      <c r="D82" s="54" t="n">
        <v>589</v>
      </c>
      <c r="E82" s="54" t="n">
        <v>720</v>
      </c>
      <c r="F82" s="54" t="n">
        <v>880</v>
      </c>
      <c r="G82" s="89" t="n">
        <v>691</v>
      </c>
    </row>
    <row r="83" customFormat="false" ht="15" hidden="false" customHeight="false" outlineLevel="0" collapsed="false">
      <c r="A83" s="65" t="s">
        <v>243</v>
      </c>
      <c r="B83" s="97" t="n">
        <f aca="false">B74+B75+B76+B77+B78+B79+B80+B81+B82</f>
        <v>17482</v>
      </c>
      <c r="C83" s="97" t="n">
        <f aca="false">C74+C75+C76+C77+C78+C79+C80+C81+C82</f>
        <v>17538</v>
      </c>
      <c r="D83" s="97" t="n">
        <f aca="false">D74+D75+D76+D77+D78+D79+D80+D81+D82</f>
        <v>19284</v>
      </c>
      <c r="E83" s="97" t="n">
        <f aca="false">E74+E75+E76+E77+E78+E79+E80+E81+E82</f>
        <v>21988</v>
      </c>
      <c r="F83" s="97" t="n">
        <f aca="false">F74+F75+F76+F77+F78+F79+F80+F81+F82</f>
        <v>27257</v>
      </c>
      <c r="G83" s="98" t="n">
        <f aca="false">G74+G75+G76+G77+G78+G79+G80+G81+G82</f>
        <v>27097</v>
      </c>
      <c r="H83" s="97" t="n">
        <f aca="false">H74+H75+H76+H77+H78+H79+H80+H81+H82</f>
        <v>0</v>
      </c>
      <c r="I83" s="97" t="n">
        <f aca="false">I74+I75+I76+I77+I78+I79+I80+I81+I82</f>
        <v>0</v>
      </c>
      <c r="J83" s="97" t="n">
        <f aca="false">J74+J75+J76+J77+J78+J79+J80+J81+J82</f>
        <v>0</v>
      </c>
      <c r="K83" s="97" t="n">
        <f aca="false">K74+K75+K76+K77+K78+K79+K80+K81+K82</f>
        <v>0</v>
      </c>
      <c r="L83" s="97" t="n">
        <f aca="false">L74+L75+L76+L77+L78+L79+L80+L81+L82</f>
        <v>0</v>
      </c>
      <c r="M83" s="97" t="n">
        <f aca="false">M74+M75+M76+M77+M78+M79+M80+M81+M82</f>
        <v>0</v>
      </c>
      <c r="N83" s="97" t="n">
        <f aca="false">N74+N75+N76+N77+N78+N79+N80+N81+N82</f>
        <v>0</v>
      </c>
      <c r="O83" s="97" t="n">
        <f aca="false">O74+O75+O76+O77+O78+O79+O80+O81+O82</f>
        <v>0</v>
      </c>
      <c r="P83" s="97" t="n">
        <f aca="false">P74+P75+P76+P77+P78+P79+P80+P81+P82</f>
        <v>0</v>
      </c>
      <c r="Q83" s="97" t="n">
        <f aca="false">Q74+Q75+Q76+Q77+Q78+Q79+Q80+Q81+Q82</f>
        <v>0</v>
      </c>
    </row>
    <row r="84" customFormat="false" ht="15" hidden="false" customHeight="false" outlineLevel="0" collapsed="false">
      <c r="A84" s="64" t="s">
        <v>244</v>
      </c>
      <c r="B84" s="97" t="n">
        <f aca="false">B71+B72+B83</f>
        <v>43770</v>
      </c>
      <c r="C84" s="97" t="n">
        <f aca="false">C71+C72+C83</f>
        <v>44407</v>
      </c>
      <c r="D84" s="97" t="n">
        <f aca="false">D71+D72+D83</f>
        <v>48893</v>
      </c>
      <c r="E84" s="97" t="n">
        <f aca="false">E71+E72+E83</f>
        <v>56175</v>
      </c>
      <c r="F84" s="97" t="n">
        <f aca="false">F71+F72+F83</f>
        <v>82803</v>
      </c>
      <c r="G84" s="98" t="n">
        <f aca="false">G71+G72+G83</f>
        <v>85153</v>
      </c>
      <c r="H84" s="97" t="n">
        <f aca="false">H71+H72+H83</f>
        <v>2274.95958828219</v>
      </c>
      <c r="I84" s="97" t="n">
        <f aca="false">I71+I72+I83</f>
        <v>2405.15036830033</v>
      </c>
      <c r="J84" s="97" t="n">
        <f aca="false">J71+J72+J83</f>
        <v>2570.51744600052</v>
      </c>
      <c r="K84" s="97" t="n">
        <f aca="false">K71+K72+K83</f>
        <v>2749.50350466357</v>
      </c>
      <c r="L84" s="97" t="n">
        <f aca="false">L71+L72+L83</f>
        <v>2827.34169782043</v>
      </c>
      <c r="M84" s="97" t="n">
        <f aca="false">M71+M72+M83</f>
        <v>2893.52006092736</v>
      </c>
      <c r="N84" s="97" t="n">
        <f aca="false">N71+N72+N83</f>
        <v>2960.57880846993</v>
      </c>
      <c r="O84" s="97" t="n">
        <f aca="false">O71+O72+O83</f>
        <v>3098.66396636717</v>
      </c>
      <c r="P84" s="97" t="n">
        <f aca="false">P71+P72+P83</f>
        <v>3238.1390820658</v>
      </c>
      <c r="Q84" s="97" t="n">
        <f aca="false">Q71+Q72+Q83</f>
        <v>3371.67722851914</v>
      </c>
    </row>
    <row r="85" customFormat="false" ht="15" hidden="false" customHeight="false" outlineLevel="0" collapsed="false">
      <c r="A85" s="64" t="s">
        <v>245</v>
      </c>
      <c r="B85" s="97" t="n">
        <v>375</v>
      </c>
      <c r="C85" s="97" t="n">
        <v>375</v>
      </c>
      <c r="D85" s="97" t="n">
        <v>375</v>
      </c>
      <c r="E85" s="97" t="n">
        <v>118</v>
      </c>
      <c r="F85" s="97" t="n">
        <v>118</v>
      </c>
      <c r="G85" s="98" t="n">
        <v>324</v>
      </c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customFormat="false" ht="15" hidden="false" customHeight="false" outlineLevel="0" collapsed="false">
      <c r="A86" s="64" t="s">
        <v>246</v>
      </c>
      <c r="B86" s="97" t="n">
        <v>0</v>
      </c>
      <c r="C86" s="97" t="n">
        <v>0</v>
      </c>
      <c r="D86" s="97" t="n">
        <v>39</v>
      </c>
      <c r="E86" s="97" t="n">
        <v>43</v>
      </c>
      <c r="F86" s="97" t="n">
        <v>164</v>
      </c>
      <c r="G86" s="98" t="n">
        <v>0</v>
      </c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customFormat="false" ht="15" hidden="false" customHeight="false" outlineLevel="0" collapsed="false">
      <c r="A87" s="64" t="s">
        <v>247</v>
      </c>
      <c r="B87" s="97" t="n">
        <v>19004</v>
      </c>
      <c r="C87" s="97" t="n">
        <v>19764</v>
      </c>
      <c r="D87" s="97" t="n">
        <v>20926</v>
      </c>
      <c r="E87" s="97" t="n">
        <v>21982</v>
      </c>
      <c r="F87" s="97" t="n">
        <v>26612</v>
      </c>
      <c r="G87" s="98" t="n">
        <v>25528</v>
      </c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customFormat="false" ht="15.75" hidden="false" customHeight="false" outlineLevel="0" collapsed="false">
      <c r="A88" s="104" t="s">
        <v>248</v>
      </c>
      <c r="B88" s="110" t="n">
        <f aca="false">B84+B85+B86+B87</f>
        <v>63149</v>
      </c>
      <c r="C88" s="110" t="n">
        <f aca="false">C84+C85+C86+C87</f>
        <v>64546</v>
      </c>
      <c r="D88" s="110" t="n">
        <f aca="false">D84+D85+D86+D87</f>
        <v>70233</v>
      </c>
      <c r="E88" s="110" t="n">
        <f aca="false">E84+E85+E86+E87</f>
        <v>78318</v>
      </c>
      <c r="F88" s="110" t="n">
        <f aca="false">F84+F85+F86+F87</f>
        <v>109697</v>
      </c>
      <c r="G88" s="111" t="n">
        <f aca="false">G84+G85+G86+G87</f>
        <v>111005</v>
      </c>
      <c r="H88" s="110" t="n">
        <f aca="false">H84+H85+H86+H87</f>
        <v>2274.95958828219</v>
      </c>
      <c r="I88" s="110" t="n">
        <f aca="false">I84+I85+I86+I87</f>
        <v>2405.15036830033</v>
      </c>
      <c r="J88" s="110" t="n">
        <f aca="false">J84+J85+J86+J87</f>
        <v>2570.51744600052</v>
      </c>
      <c r="K88" s="110" t="n">
        <f aca="false">K84+K85+K86+K87</f>
        <v>2749.50350466357</v>
      </c>
      <c r="L88" s="110" t="n">
        <f aca="false">L84+L85+L86+L87</f>
        <v>2827.34169782043</v>
      </c>
      <c r="M88" s="110" t="n">
        <f aca="false">M84+M85+M86+M87</f>
        <v>2893.52006092736</v>
      </c>
      <c r="N88" s="110" t="n">
        <f aca="false">N84+N85+N86+N87</f>
        <v>2960.57880846993</v>
      </c>
      <c r="O88" s="110" t="n">
        <f aca="false">O84+O85+O86+O87</f>
        <v>3098.66396636717</v>
      </c>
      <c r="P88" s="110" t="n">
        <f aca="false">P84+P85+P86+P87</f>
        <v>3238.1390820658</v>
      </c>
      <c r="Q88" s="110" t="n">
        <f aca="false">Q84+Q85+Q86+Q87</f>
        <v>3371.67722851914</v>
      </c>
    </row>
    <row r="89" customFormat="false" ht="15" hidden="false" customHeight="false" outlineLevel="0" collapsed="false">
      <c r="G89" s="0"/>
    </row>
    <row r="90" customFormat="false" ht="15" hidden="false" customHeight="false" outlineLevel="0" collapsed="false">
      <c r="A90" s="0" t="s">
        <v>249</v>
      </c>
      <c r="B90" s="70" t="n">
        <f aca="false">B46-B88</f>
        <v>0</v>
      </c>
      <c r="C90" s="70" t="n">
        <f aca="false">C46-C88</f>
        <v>0</v>
      </c>
      <c r="D90" s="70" t="n">
        <f aca="false">D46-D88</f>
        <v>0</v>
      </c>
      <c r="E90" s="70" t="n">
        <f aca="false">E46-E88</f>
        <v>0</v>
      </c>
      <c r="F90" s="70" t="n">
        <f aca="false">F46-F88</f>
        <v>0</v>
      </c>
      <c r="G90" s="88" t="n">
        <f aca="false">G46-G88</f>
        <v>0</v>
      </c>
      <c r="H90" s="70" t="n">
        <f aca="false">H46-H88</f>
        <v>94237.7866301832</v>
      </c>
      <c r="I90" s="70" t="n">
        <f aca="false">I46-I88</f>
        <v>98651.1844425062</v>
      </c>
      <c r="J90" s="70" t="n">
        <f aca="false">J46-J88</f>
        <v>103282.261003145</v>
      </c>
      <c r="K90" s="70" t="n">
        <f aca="false">K46-K88</f>
        <v>108167.192771009</v>
      </c>
      <c r="L90" s="70" t="n">
        <f aca="false">L46-L88</f>
        <v>113436.219267895</v>
      </c>
      <c r="M90" s="70" t="n">
        <f aca="false">M46-M88</f>
        <v>119016.229049404</v>
      </c>
      <c r="N90" s="70" t="n">
        <f aca="false">N46-N88</f>
        <v>124912.015808729</v>
      </c>
      <c r="O90" s="70" t="n">
        <f aca="false">O46-O88</f>
        <v>131071.781347977</v>
      </c>
      <c r="P90" s="70" t="n">
        <f aca="false">P46-P88</f>
        <v>137584.583870777</v>
      </c>
      <c r="Q90" s="70" t="n">
        <f aca="false">Q46-Q88</f>
        <v>144478.309588431</v>
      </c>
    </row>
    <row r="91" customFormat="false" ht="15" hidden="false" customHeight="false" outlineLevel="0" collapsed="false">
      <c r="G91" s="0"/>
    </row>
    <row r="92" customFormat="false" ht="15" hidden="false" customHeight="false" outlineLevel="0" collapsed="false">
      <c r="G92" s="0"/>
    </row>
    <row r="93" customFormat="false" ht="15" hidden="false" customHeight="false" outlineLevel="0" collapsed="false">
      <c r="G93" s="0"/>
    </row>
    <row r="94" customFormat="false" ht="15" hidden="false" customHeight="false" outlineLevel="0" collapsed="false">
      <c r="A94" s="0" t="s">
        <v>250</v>
      </c>
      <c r="G94" s="0"/>
    </row>
    <row r="95" customFormat="false" ht="15" hidden="false" customHeight="false" outlineLevel="0" collapsed="false">
      <c r="G95" s="0"/>
    </row>
    <row r="96" customFormat="false" ht="15" hidden="false" customHeight="false" outlineLevel="0" collapsed="false">
      <c r="A96" s="67" t="s">
        <v>251</v>
      </c>
      <c r="G96" s="0"/>
    </row>
    <row r="97" customFormat="false" ht="15" hidden="false" customHeight="false" outlineLevel="0" collapsed="false">
      <c r="A97" s="67" t="s">
        <v>252</v>
      </c>
      <c r="C97" s="70" t="n">
        <f aca="false">B100</f>
        <v>1402</v>
      </c>
      <c r="D97" s="70" t="n">
        <f aca="false">C100</f>
        <v>1475</v>
      </c>
      <c r="E97" s="70" t="n">
        <f aca="false">D100</f>
        <v>1522</v>
      </c>
      <c r="F97" s="70" t="n">
        <f aca="false">E100</f>
        <v>1455</v>
      </c>
      <c r="G97" s="88" t="n">
        <f aca="false">F100</f>
        <v>2289</v>
      </c>
      <c r="H97" s="70" t="n">
        <f aca="false">G100</f>
        <v>2616</v>
      </c>
      <c r="I97" s="70" t="n">
        <f aca="false">H100</f>
        <v>2667.71015065392</v>
      </c>
      <c r="J97" s="70" t="n">
        <f aca="false">I100</f>
        <v>2721.90070132237</v>
      </c>
      <c r="K97" s="70" t="n">
        <f aca="false">J100</f>
        <v>2778.75328630495</v>
      </c>
      <c r="L97" s="70" t="n">
        <f aca="false">K100</f>
        <v>2838.46478300999</v>
      </c>
      <c r="M97" s="70" t="n">
        <f aca="false">L100</f>
        <v>2901.24863397947</v>
      </c>
      <c r="N97" s="70" t="n">
        <f aca="false">M100</f>
        <v>2967.33628451596</v>
      </c>
      <c r="O97" s="70" t="n">
        <f aca="false">N100</f>
        <v>3036.9787460443</v>
      </c>
      <c r="P97" s="70" t="n">
        <f aca="false">O100</f>
        <v>3110.44829622994</v>
      </c>
      <c r="Q97" s="70" t="n">
        <f aca="false">P100</f>
        <v>3188.04032784236</v>
      </c>
    </row>
    <row r="98" customFormat="false" ht="15" hidden="false" customHeight="false" outlineLevel="0" collapsed="false">
      <c r="A98" s="67" t="s">
        <v>253</v>
      </c>
      <c r="C98" s="80" t="n">
        <f aca="false">C100/'Income Statement'!D8</f>
        <v>0.0863229355650495</v>
      </c>
      <c r="D98" s="80" t="n">
        <f aca="false">D100/'Income Statement'!E8</f>
        <v>0.0824172848865544</v>
      </c>
      <c r="E98" s="80" t="n">
        <f aca="false">E100/'Income Statement'!F8</f>
        <v>0.083195151237921</v>
      </c>
      <c r="F98" s="80" t="n">
        <f aca="false">F100/'Income Statement'!G8</f>
        <v>0.115048250904704</v>
      </c>
      <c r="G98" s="93" t="n">
        <f aca="false">G100/'Income Statement'!H8</f>
        <v>0.113586036212062</v>
      </c>
      <c r="H98" s="94" t="n">
        <f aca="false">AVERAGE($E$98:$G$98)</f>
        <v>0.103943146118229</v>
      </c>
      <c r="I98" s="94" t="n">
        <f aca="false">AVERAGE($E$98:$G$98)</f>
        <v>0.103943146118229</v>
      </c>
      <c r="J98" s="94" t="n">
        <f aca="false">AVERAGE($E$98:$G$98)</f>
        <v>0.103943146118229</v>
      </c>
      <c r="K98" s="94" t="n">
        <f aca="false">AVERAGE($E$98:$G$98)</f>
        <v>0.103943146118229</v>
      </c>
      <c r="L98" s="94" t="n">
        <f aca="false">AVERAGE($E$98:$G$98)</f>
        <v>0.103943146118229</v>
      </c>
      <c r="M98" s="94" t="n">
        <f aca="false">AVERAGE($E$98:$G$98)</f>
        <v>0.103943146118229</v>
      </c>
      <c r="N98" s="94" t="n">
        <f aca="false">AVERAGE($E$98:$G$98)</f>
        <v>0.103943146118229</v>
      </c>
      <c r="O98" s="94" t="n">
        <f aca="false">AVERAGE($E$98:$G$98)</f>
        <v>0.103943146118229</v>
      </c>
      <c r="P98" s="94" t="n">
        <f aca="false">AVERAGE($E$98:$G$98)</f>
        <v>0.103943146118229</v>
      </c>
      <c r="Q98" s="94" t="n">
        <f aca="false">AVERAGE($E$98:$G$98)</f>
        <v>0.103943146118229</v>
      </c>
    </row>
    <row r="99" customFormat="false" ht="15" hidden="false" customHeight="false" outlineLevel="0" collapsed="false">
      <c r="A99" s="67" t="s">
        <v>254</v>
      </c>
      <c r="C99" s="70" t="n">
        <f aca="false">C100-C97</f>
        <v>73</v>
      </c>
      <c r="D99" s="70" t="n">
        <f aca="false">D100-D97</f>
        <v>47</v>
      </c>
      <c r="E99" s="70" t="n">
        <f aca="false">E100-E97</f>
        <v>-67</v>
      </c>
      <c r="F99" s="70" t="n">
        <f aca="false">F100-F97</f>
        <v>834</v>
      </c>
      <c r="G99" s="88" t="n">
        <f aca="false">G100-G97</f>
        <v>327</v>
      </c>
      <c r="H99" s="70" t="n">
        <f aca="false">('Income Statement'!I8-'Income Statement'!H8)*'Balance Sheet'!H98</f>
        <v>51.7101506539192</v>
      </c>
      <c r="I99" s="70" t="n">
        <f aca="false">('Income Statement'!J8-'Income Statement'!I8)*'Balance Sheet'!I98</f>
        <v>54.1905506684485</v>
      </c>
      <c r="J99" s="70" t="n">
        <f aca="false">('Income Statement'!K8-'Income Statement'!J8)*'Balance Sheet'!J98</f>
        <v>56.8525849825797</v>
      </c>
      <c r="K99" s="70" t="n">
        <f aca="false">('Income Statement'!L8-'Income Statement'!K8)*'Balance Sheet'!K98</f>
        <v>59.7114967050405</v>
      </c>
      <c r="L99" s="70" t="n">
        <f aca="false">('Income Statement'!M8-'Income Statement'!L8)*'Balance Sheet'!L98</f>
        <v>62.7838509694844</v>
      </c>
      <c r="M99" s="70" t="n">
        <f aca="false">('Income Statement'!N8-'Income Statement'!M8)*'Balance Sheet'!M98</f>
        <v>66.0876505364842</v>
      </c>
      <c r="N99" s="70" t="n">
        <f aca="false">('Income Statement'!O8-'Income Statement'!N8)*'Balance Sheet'!N98</f>
        <v>69.6424615283434</v>
      </c>
      <c r="O99" s="70" t="n">
        <f aca="false">('Income Statement'!P8-'Income Statement'!O8)*'Balance Sheet'!O98</f>
        <v>73.4695501856419</v>
      </c>
      <c r="P99" s="70" t="n">
        <f aca="false">('Income Statement'!Q8-'Income Statement'!P8)*'Balance Sheet'!P98</f>
        <v>77.5920316124163</v>
      </c>
      <c r="Q99" s="70" t="n">
        <f aca="false">('Income Statement'!R8-'Income Statement'!Q8)*'Balance Sheet'!Q98</f>
        <v>82.0350315617452</v>
      </c>
    </row>
    <row r="100" customFormat="false" ht="15" hidden="false" customHeight="false" outlineLevel="0" collapsed="false">
      <c r="A100" s="67" t="s">
        <v>255</v>
      </c>
      <c r="B100" s="70" t="n">
        <f aca="false">B5+B7</f>
        <v>1402</v>
      </c>
      <c r="C100" s="70" t="n">
        <f aca="false">C5+C7</f>
        <v>1475</v>
      </c>
      <c r="D100" s="70" t="n">
        <f aca="false">D5+D7</f>
        <v>1522</v>
      </c>
      <c r="E100" s="70" t="n">
        <f aca="false">E5+E7</f>
        <v>1455</v>
      </c>
      <c r="F100" s="70" t="n">
        <f aca="false">F5+F7</f>
        <v>2289</v>
      </c>
      <c r="G100" s="88" t="n">
        <f aca="false">G5+G7</f>
        <v>2616</v>
      </c>
      <c r="H100" s="70" t="n">
        <f aca="false">H97+H99</f>
        <v>2667.71015065392</v>
      </c>
      <c r="I100" s="70" t="n">
        <f aca="false">I97+I99</f>
        <v>2721.90070132237</v>
      </c>
      <c r="J100" s="70" t="n">
        <f aca="false">J97+J99</f>
        <v>2778.75328630495</v>
      </c>
      <c r="K100" s="70" t="n">
        <f aca="false">K97+K99</f>
        <v>2838.46478300999</v>
      </c>
      <c r="L100" s="70" t="n">
        <f aca="false">L97+L99</f>
        <v>2901.24863397947</v>
      </c>
      <c r="M100" s="70" t="n">
        <f aca="false">M97+M99</f>
        <v>2967.33628451596</v>
      </c>
      <c r="N100" s="70" t="n">
        <f aca="false">N97+N99</f>
        <v>3036.9787460443</v>
      </c>
      <c r="O100" s="70" t="n">
        <f aca="false">O97+O99</f>
        <v>3110.44829622994</v>
      </c>
      <c r="P100" s="70" t="n">
        <f aca="false">P97+P99</f>
        <v>3188.04032784236</v>
      </c>
      <c r="Q100" s="70" t="n">
        <f aca="false">Q97+Q99</f>
        <v>3270.0753594041</v>
      </c>
    </row>
    <row r="101" customFormat="false" ht="15" hidden="false" customHeight="false" outlineLevel="0" collapsed="false">
      <c r="G101" s="0"/>
    </row>
    <row r="102" customFormat="false" ht="15" hidden="false" customHeight="false" outlineLevel="0" collapsed="false">
      <c r="G102" s="0"/>
    </row>
    <row r="103" customFormat="false" ht="15" hidden="false" customHeight="false" outlineLevel="0" collapsed="false">
      <c r="A103" s="67" t="s">
        <v>256</v>
      </c>
      <c r="G103" s="0"/>
    </row>
    <row r="104" customFormat="false" ht="15" hidden="false" customHeight="false" outlineLevel="0" collapsed="false">
      <c r="A104" s="67" t="s">
        <v>252</v>
      </c>
      <c r="C104" s="70" t="n">
        <f aca="false">B107</f>
        <v>0</v>
      </c>
      <c r="D104" s="70" t="n">
        <f aca="false">C107</f>
        <v>0</v>
      </c>
      <c r="E104" s="70" t="n">
        <f aca="false">D107</f>
        <v>0</v>
      </c>
      <c r="F104" s="70" t="n">
        <f aca="false">E107</f>
        <v>0</v>
      </c>
      <c r="G104" s="88" t="n">
        <f aca="false">F107</f>
        <v>623</v>
      </c>
      <c r="H104" s="70" t="n">
        <f aca="false">G107</f>
        <v>607</v>
      </c>
      <c r="I104" s="70" t="n">
        <f aca="false">H107</f>
        <v>607</v>
      </c>
      <c r="J104" s="70" t="n">
        <f aca="false">I107</f>
        <v>607</v>
      </c>
      <c r="K104" s="70" t="n">
        <f aca="false">J107</f>
        <v>607</v>
      </c>
      <c r="L104" s="70" t="n">
        <f aca="false">K107</f>
        <v>607</v>
      </c>
      <c r="M104" s="70" t="n">
        <f aca="false">L107</f>
        <v>607</v>
      </c>
      <c r="N104" s="70" t="n">
        <f aca="false">M107</f>
        <v>607</v>
      </c>
      <c r="O104" s="70" t="n">
        <f aca="false">N107</f>
        <v>607</v>
      </c>
      <c r="P104" s="70" t="n">
        <f aca="false">O107</f>
        <v>607</v>
      </c>
      <c r="Q104" s="70" t="n">
        <f aca="false">P107</f>
        <v>607</v>
      </c>
    </row>
    <row r="105" customFormat="false" ht="15" hidden="false" customHeight="false" outlineLevel="0" collapsed="false">
      <c r="A105" s="67" t="s">
        <v>257</v>
      </c>
      <c r="C105" s="80" t="n">
        <f aca="false">C107/'Income Statement'!D15</f>
        <v>0</v>
      </c>
      <c r="D105" s="80" t="n">
        <f aca="false">D107/'Income Statement'!E15</f>
        <v>0</v>
      </c>
      <c r="E105" s="80" t="n">
        <f aca="false">E107/'Income Statement'!F15</f>
        <v>0</v>
      </c>
      <c r="F105" s="80" t="n">
        <f aca="false">F107/'Income Statement'!G15</f>
        <v>0.071840405904059</v>
      </c>
      <c r="G105" s="93" t="n">
        <f aca="false">G107/'Income Statement'!H15</f>
        <v>0.059667747960287</v>
      </c>
      <c r="H105" s="94" t="n">
        <f aca="false">AVERAGE($F$105:$G$105)</f>
        <v>0.065754076932173</v>
      </c>
      <c r="I105" s="94" t="n">
        <f aca="false">AVERAGE($F$105:$G$105)</f>
        <v>0.065754076932173</v>
      </c>
      <c r="J105" s="94" t="n">
        <f aca="false">AVERAGE($F$105:$G$105)</f>
        <v>0.065754076932173</v>
      </c>
      <c r="K105" s="94" t="n">
        <f aca="false">AVERAGE($F$105:$G$105)</f>
        <v>0.065754076932173</v>
      </c>
      <c r="L105" s="94" t="n">
        <f aca="false">AVERAGE($F$105:$G$105)</f>
        <v>0.065754076932173</v>
      </c>
      <c r="M105" s="94" t="n">
        <f aca="false">AVERAGE($F$105:$G$105)</f>
        <v>0.065754076932173</v>
      </c>
      <c r="N105" s="94" t="n">
        <f aca="false">AVERAGE($F$105:$G$105)</f>
        <v>0.065754076932173</v>
      </c>
      <c r="O105" s="94" t="n">
        <f aca="false">AVERAGE($F$105:$G$105)</f>
        <v>0.065754076932173</v>
      </c>
      <c r="P105" s="94" t="n">
        <f aca="false">AVERAGE($F$105:$G$105)</f>
        <v>0.065754076932173</v>
      </c>
      <c r="Q105" s="94" t="n">
        <f aca="false">AVERAGE($F$105:$G$105)</f>
        <v>0.065754076932173</v>
      </c>
    </row>
    <row r="106" customFormat="false" ht="15" hidden="false" customHeight="false" outlineLevel="0" collapsed="false">
      <c r="A106" s="67" t="s">
        <v>254</v>
      </c>
      <c r="C106" s="70" t="n">
        <f aca="false">C107-C104</f>
        <v>0</v>
      </c>
      <c r="D106" s="70" t="n">
        <f aca="false">D107-D104</f>
        <v>0</v>
      </c>
      <c r="E106" s="70" t="n">
        <f aca="false">E107-E104</f>
        <v>0</v>
      </c>
      <c r="F106" s="70" t="n">
        <f aca="false">F107-F104</f>
        <v>623</v>
      </c>
      <c r="G106" s="88" t="n">
        <f aca="false">G107-G104</f>
        <v>-16</v>
      </c>
      <c r="H106" s="70" t="n">
        <f aca="false">('Income Statement'!I6-'Income Statement'!H6)*'Balance Sheet'!H105</f>
        <v>0</v>
      </c>
      <c r="I106" s="70" t="n">
        <f aca="false">('Income Statement'!J6-'Income Statement'!I6)*'Balance Sheet'!I105</f>
        <v>0</v>
      </c>
      <c r="J106" s="70" t="n">
        <f aca="false">('Income Statement'!K6-'Income Statement'!J6)*'Balance Sheet'!J105</f>
        <v>0</v>
      </c>
      <c r="K106" s="70" t="n">
        <f aca="false">('Income Statement'!L6-'Income Statement'!K6)*'Balance Sheet'!K105</f>
        <v>0</v>
      </c>
      <c r="L106" s="70" t="n">
        <f aca="false">('Income Statement'!M6-'Income Statement'!L6)*'Balance Sheet'!L105</f>
        <v>0</v>
      </c>
      <c r="M106" s="70" t="n">
        <f aca="false">('Income Statement'!N6-'Income Statement'!M6)*'Balance Sheet'!M105</f>
        <v>0</v>
      </c>
      <c r="N106" s="70" t="n">
        <f aca="false">('Income Statement'!O6-'Income Statement'!N6)*'Balance Sheet'!N105</f>
        <v>0</v>
      </c>
      <c r="O106" s="70" t="n">
        <f aca="false">('Income Statement'!P6-'Income Statement'!O6)*'Balance Sheet'!O105</f>
        <v>0</v>
      </c>
      <c r="P106" s="70" t="n">
        <f aca="false">('Income Statement'!Q6-'Income Statement'!P6)*'Balance Sheet'!P105</f>
        <v>0</v>
      </c>
      <c r="Q106" s="70" t="n">
        <f aca="false">('Income Statement'!R6-'Income Statement'!Q6)*'Balance Sheet'!Q105</f>
        <v>0</v>
      </c>
    </row>
    <row r="107" customFormat="false" ht="15" hidden="false" customHeight="false" outlineLevel="0" collapsed="false">
      <c r="A107" s="67" t="s">
        <v>255</v>
      </c>
      <c r="B107" s="70" t="n">
        <f aca="false">B6</f>
        <v>0</v>
      </c>
      <c r="C107" s="70" t="n">
        <f aca="false">C6</f>
        <v>0</v>
      </c>
      <c r="D107" s="70" t="n">
        <f aca="false">D6</f>
        <v>0</v>
      </c>
      <c r="E107" s="70" t="n">
        <f aca="false">E6</f>
        <v>0</v>
      </c>
      <c r="F107" s="70" t="n">
        <f aca="false">F6</f>
        <v>623</v>
      </c>
      <c r="G107" s="88" t="n">
        <f aca="false">G6</f>
        <v>607</v>
      </c>
      <c r="H107" s="70" t="n">
        <f aca="false">H104+H106</f>
        <v>607</v>
      </c>
      <c r="I107" s="70" t="n">
        <f aca="false">I104+I106</f>
        <v>607</v>
      </c>
      <c r="J107" s="70" t="n">
        <f aca="false">J104+J106</f>
        <v>607</v>
      </c>
      <c r="K107" s="70" t="n">
        <f aca="false">K104+K106</f>
        <v>607</v>
      </c>
      <c r="L107" s="70" t="n">
        <f aca="false">L104+L106</f>
        <v>607</v>
      </c>
      <c r="M107" s="70" t="n">
        <f aca="false">M104+M106</f>
        <v>607</v>
      </c>
      <c r="N107" s="70" t="n">
        <f aca="false">N104+N106</f>
        <v>607</v>
      </c>
      <c r="O107" s="70" t="n">
        <f aca="false">O104+O106</f>
        <v>607</v>
      </c>
      <c r="P107" s="70" t="n">
        <f aca="false">P104+P106</f>
        <v>607</v>
      </c>
      <c r="Q107" s="70" t="n">
        <f aca="false">Q104+Q106</f>
        <v>607</v>
      </c>
    </row>
    <row r="108" customFormat="false" ht="15" hidden="false" customHeight="false" outlineLevel="0" collapsed="false">
      <c r="G108" s="0"/>
    </row>
    <row r="109" customFormat="false" ht="15" hidden="false" customHeight="false" outlineLevel="0" collapsed="false">
      <c r="G109" s="0"/>
    </row>
    <row r="110" customFormat="false" ht="15" hidden="false" customHeight="false" outlineLevel="0" collapsed="false">
      <c r="A110" s="67" t="s">
        <v>258</v>
      </c>
      <c r="G110" s="0"/>
    </row>
    <row r="111" customFormat="false" ht="15" hidden="false" customHeight="false" outlineLevel="0" collapsed="false">
      <c r="A111" s="67" t="s">
        <v>252</v>
      </c>
      <c r="C111" s="70" t="n">
        <f aca="false">B114</f>
        <v>247</v>
      </c>
      <c r="D111" s="70" t="n">
        <f aca="false">C114</f>
        <v>344</v>
      </c>
      <c r="E111" s="70" t="n">
        <f aca="false">D114</f>
        <v>425</v>
      </c>
      <c r="F111" s="70" t="n">
        <f aca="false">E114</f>
        <v>592</v>
      </c>
      <c r="G111" s="88" t="n">
        <f aca="false">F114</f>
        <v>878</v>
      </c>
      <c r="H111" s="70" t="n">
        <f aca="false">G114</f>
        <v>825</v>
      </c>
      <c r="I111" s="70" t="n">
        <f aca="false">H114</f>
        <v>840.615743623599</v>
      </c>
      <c r="J111" s="70" t="n">
        <f aca="false">I114</f>
        <v>856.980533425193</v>
      </c>
      <c r="K111" s="70" t="n">
        <f aca="false">J114</f>
        <v>874.149220427646</v>
      </c>
      <c r="L111" s="70" t="n">
        <f aca="false">K114</f>
        <v>892.181258859864</v>
      </c>
      <c r="M111" s="70" t="n">
        <f aca="false">L114</f>
        <v>911.141105389869</v>
      </c>
      <c r="N111" s="70" t="n">
        <f aca="false">M114</f>
        <v>931.098653268053</v>
      </c>
      <c r="O111" s="70" t="n">
        <f aca="false">N114</f>
        <v>952.129704440605</v>
      </c>
      <c r="P111" s="70" t="n">
        <f aca="false">O114</f>
        <v>974.316482961491</v>
      </c>
      <c r="Q111" s="70" t="n">
        <f aca="false">P114</f>
        <v>997.748193323407</v>
      </c>
    </row>
    <row r="112" customFormat="false" ht="15" hidden="false" customHeight="false" outlineLevel="0" collapsed="false">
      <c r="A112" s="67" t="s">
        <v>259</v>
      </c>
      <c r="C112" s="80" t="n">
        <f aca="false">C114/'Income Statement'!D$8</f>
        <v>0.0201322642944929</v>
      </c>
      <c r="D112" s="80" t="n">
        <f aca="false">D114/'Income Statement'!E$8</f>
        <v>0.023014025017599</v>
      </c>
      <c r="E112" s="80" t="n">
        <f aca="false">E114/'Income Statement'!F$8</f>
        <v>0.033849848476185</v>
      </c>
      <c r="F112" s="80" t="n">
        <f aca="false">F114/'Income Statement'!G$8</f>
        <v>0.044129473260957</v>
      </c>
      <c r="G112" s="80" t="n">
        <f aca="false">G114/'Income Statement'!H$8</f>
        <v>0.0358212843558682</v>
      </c>
      <c r="H112" s="94" t="n">
        <f aca="false">AVERAGE($C$112:$G$112)</f>
        <v>0.0313893790810204</v>
      </c>
      <c r="I112" s="94" t="n">
        <f aca="false">AVERAGE($C$112:$G$112)</f>
        <v>0.0313893790810204</v>
      </c>
      <c r="J112" s="94" t="n">
        <f aca="false">AVERAGE($C$112:$G$112)</f>
        <v>0.0313893790810204</v>
      </c>
      <c r="K112" s="94" t="n">
        <f aca="false">AVERAGE($C$112:$G$112)</f>
        <v>0.0313893790810204</v>
      </c>
      <c r="L112" s="94" t="n">
        <f aca="false">AVERAGE($C$112:$G$112)</f>
        <v>0.0313893790810204</v>
      </c>
      <c r="M112" s="94" t="n">
        <f aca="false">AVERAGE($C$112:$G$112)</f>
        <v>0.0313893790810204</v>
      </c>
      <c r="N112" s="94" t="n">
        <f aca="false">AVERAGE($C$112:$G$112)</f>
        <v>0.0313893790810204</v>
      </c>
      <c r="O112" s="94" t="n">
        <f aca="false">AVERAGE($C$112:$G$112)</f>
        <v>0.0313893790810204</v>
      </c>
      <c r="P112" s="94" t="n">
        <f aca="false">AVERAGE($C$112:$G$112)</f>
        <v>0.0313893790810204</v>
      </c>
      <c r="Q112" s="94" t="n">
        <f aca="false">AVERAGE($C$112:$G$112)</f>
        <v>0.0313893790810204</v>
      </c>
    </row>
    <row r="113" customFormat="false" ht="15" hidden="false" customHeight="false" outlineLevel="0" collapsed="false">
      <c r="A113" s="67" t="s">
        <v>254</v>
      </c>
      <c r="C113" s="70" t="n">
        <f aca="false">C114-C111</f>
        <v>97</v>
      </c>
      <c r="D113" s="70" t="n">
        <f aca="false">D114-D111</f>
        <v>81</v>
      </c>
      <c r="E113" s="70" t="n">
        <f aca="false">E114-E111</f>
        <v>167</v>
      </c>
      <c r="F113" s="70" t="n">
        <f aca="false">F114-F111</f>
        <v>286</v>
      </c>
      <c r="G113" s="88" t="n">
        <f aca="false">G114-G111</f>
        <v>-53</v>
      </c>
      <c r="H113" s="70" t="n">
        <f aca="false">('Income Statement'!I$8-'Income Statement'!H$8)*'Balance Sheet'!H112</f>
        <v>15.6157436235989</v>
      </c>
      <c r="I113" s="70" t="n">
        <f aca="false">('Income Statement'!J$8-'Income Statement'!I$8)*'Balance Sheet'!I112</f>
        <v>16.3647898015938</v>
      </c>
      <c r="J113" s="70" t="n">
        <f aca="false">('Income Statement'!K$8-'Income Statement'!J$8)*'Balance Sheet'!J112</f>
        <v>17.1686870024531</v>
      </c>
      <c r="K113" s="70" t="n">
        <f aca="false">('Income Statement'!L$8-'Income Statement'!K$8)*'Balance Sheet'!K112</f>
        <v>18.0320384322185</v>
      </c>
      <c r="L113" s="70" t="n">
        <f aca="false">('Income Statement'!M$8-'Income Statement'!L$8)*'Balance Sheet'!L112</f>
        <v>18.9598465300043</v>
      </c>
      <c r="M113" s="70" t="n">
        <f aca="false">('Income Statement'!N$8-'Income Statement'!M$8)*'Balance Sheet'!M112</f>
        <v>19.9575478781847</v>
      </c>
      <c r="N113" s="70" t="n">
        <f aca="false">('Income Statement'!O$8-'Income Statement'!N$8)*'Balance Sheet'!N112</f>
        <v>21.0310511725522</v>
      </c>
      <c r="O113" s="70" t="n">
        <f aca="false">('Income Statement'!P$8-'Income Statement'!O$8)*'Balance Sheet'!O112</f>
        <v>22.1867785208853</v>
      </c>
      <c r="P113" s="70" t="n">
        <f aca="false">('Income Statement'!Q$8-'Income Statement'!P$8)*'Balance Sheet'!P112</f>
        <v>23.431710361916</v>
      </c>
      <c r="Q113" s="70" t="n">
        <f aca="false">('Income Statement'!R$8-'Income Statement'!Q$8)*'Balance Sheet'!Q112</f>
        <v>24.7734343223184</v>
      </c>
    </row>
    <row r="114" customFormat="false" ht="15" hidden="false" customHeight="false" outlineLevel="0" collapsed="false">
      <c r="A114" s="67" t="s">
        <v>255</v>
      </c>
      <c r="B114" s="70" t="n">
        <f aca="false">(B8+B9+B10+B11)</f>
        <v>247</v>
      </c>
      <c r="C114" s="70" t="n">
        <f aca="false">(C8+C9+C10+C11)</f>
        <v>344</v>
      </c>
      <c r="D114" s="70" t="n">
        <f aca="false">(D8+D9+D10+D11)</f>
        <v>425</v>
      </c>
      <c r="E114" s="70" t="n">
        <f aca="false">(E8+E9+E10+E11)</f>
        <v>592</v>
      </c>
      <c r="F114" s="70" t="n">
        <f aca="false">(F8+F9+F10+F11)</f>
        <v>878</v>
      </c>
      <c r="G114" s="88" t="n">
        <f aca="false">(G8+G9+G10+G11)</f>
        <v>825</v>
      </c>
      <c r="H114" s="70" t="n">
        <f aca="false">H111+H113</f>
        <v>840.615743623599</v>
      </c>
      <c r="I114" s="70" t="n">
        <f aca="false">I111+I113</f>
        <v>856.980533425193</v>
      </c>
      <c r="J114" s="70" t="n">
        <f aca="false">J111+J113</f>
        <v>874.149220427646</v>
      </c>
      <c r="K114" s="70" t="n">
        <f aca="false">K111+K113</f>
        <v>892.181258859864</v>
      </c>
      <c r="L114" s="70" t="n">
        <f aca="false">L111+L113</f>
        <v>911.141105389869</v>
      </c>
      <c r="M114" s="70" t="n">
        <f aca="false">M111+M113</f>
        <v>931.098653268053</v>
      </c>
      <c r="N114" s="70" t="n">
        <f aca="false">N111+N113</f>
        <v>952.129704440605</v>
      </c>
      <c r="O114" s="70" t="n">
        <f aca="false">O111+O113</f>
        <v>974.316482961491</v>
      </c>
      <c r="P114" s="70" t="n">
        <f aca="false">P111+P113</f>
        <v>997.748193323407</v>
      </c>
      <c r="Q114" s="70" t="n">
        <f aca="false">Q111+Q113</f>
        <v>1022.52162764573</v>
      </c>
    </row>
    <row r="115" customFormat="false" ht="15" hidden="false" customHeight="false" outlineLevel="0" collapsed="false">
      <c r="G115" s="0"/>
    </row>
    <row r="116" customFormat="false" ht="15" hidden="false" customHeight="false" outlineLevel="0" collapsed="false">
      <c r="G116" s="0"/>
    </row>
    <row r="117" customFormat="false" ht="15" hidden="false" customHeight="false" outlineLevel="0" collapsed="false">
      <c r="A117" s="67" t="s">
        <v>184</v>
      </c>
      <c r="G117" s="0"/>
    </row>
    <row r="118" customFormat="false" ht="15" hidden="false" customHeight="false" outlineLevel="0" collapsed="false">
      <c r="A118" s="67" t="s">
        <v>252</v>
      </c>
      <c r="C118" s="70" t="n">
        <f aca="false">B121</f>
        <v>1000</v>
      </c>
      <c r="D118" s="70" t="n">
        <f aca="false">C121</f>
        <v>959</v>
      </c>
      <c r="E118" s="70" t="n">
        <f aca="false">D121</f>
        <v>1039</v>
      </c>
      <c r="F118" s="70" t="n">
        <f aca="false">E121</f>
        <v>1061</v>
      </c>
      <c r="G118" s="88" t="n">
        <f aca="false">F121</f>
        <v>1462</v>
      </c>
      <c r="H118" s="70" t="n">
        <f aca="false">G121</f>
        <v>1438</v>
      </c>
      <c r="I118" s="70" t="n">
        <f aca="false">H121</f>
        <v>1468.7419288778</v>
      </c>
      <c r="J118" s="70" t="n">
        <f aca="false">I121</f>
        <v>1500.95846728333</v>
      </c>
      <c r="K118" s="70" t="n">
        <f aca="false">J121</f>
        <v>1534.75759766589</v>
      </c>
      <c r="L118" s="70" t="n">
        <f aca="false">K121</f>
        <v>1570.2563645749</v>
      </c>
      <c r="M118" s="70" t="n">
        <f aca="false">L121</f>
        <v>1607.58166061001</v>
      </c>
      <c r="N118" s="70" t="n">
        <f aca="false">M121</f>
        <v>1646.87108109712</v>
      </c>
      <c r="O118" s="70" t="n">
        <f aca="false">N121</f>
        <v>1688.27385351423</v>
      </c>
      <c r="P118" s="70" t="n">
        <f aca="false">O121</f>
        <v>1731.95184821989</v>
      </c>
      <c r="Q118" s="70" t="n">
        <f aca="false">P121</f>
        <v>1778.08067761119</v>
      </c>
    </row>
    <row r="119" customFormat="false" ht="15" hidden="false" customHeight="false" outlineLevel="0" collapsed="false">
      <c r="A119" s="67" t="s">
        <v>259</v>
      </c>
      <c r="C119" s="80" t="n">
        <f aca="false">C121/'Income Statement'!D$8</f>
        <v>0.0561245391233101</v>
      </c>
      <c r="D119" s="80" t="n">
        <f aca="false">D121/'Income Statement'!E$8</f>
        <v>0.0562625223371419</v>
      </c>
      <c r="E119" s="80" t="n">
        <f aca="false">E121/'Income Statement'!F$8</f>
        <v>0.0606667047858654</v>
      </c>
      <c r="F119" s="80" t="n">
        <f aca="false">F121/'Income Statement'!G$8</f>
        <v>0.0734821069561721</v>
      </c>
      <c r="G119" s="80" t="n">
        <f aca="false">G121/'Income Statement'!H$8</f>
        <v>0.0624375841257436</v>
      </c>
      <c r="H119" s="94" t="n">
        <f aca="false">AVERAGE($C119:$G119)</f>
        <v>0.0617946914656466</v>
      </c>
      <c r="I119" s="94" t="n">
        <f aca="false">AVERAGE($C119:$G119)</f>
        <v>0.0617946914656466</v>
      </c>
      <c r="J119" s="94" t="n">
        <f aca="false">AVERAGE($C119:$G119)</f>
        <v>0.0617946914656466</v>
      </c>
      <c r="K119" s="94" t="n">
        <f aca="false">AVERAGE($C119:$G119)</f>
        <v>0.0617946914656466</v>
      </c>
      <c r="L119" s="94" t="n">
        <f aca="false">AVERAGE($C119:$G119)</f>
        <v>0.0617946914656466</v>
      </c>
      <c r="M119" s="94" t="n">
        <f aca="false">AVERAGE($C119:$G119)</f>
        <v>0.0617946914656466</v>
      </c>
      <c r="N119" s="94" t="n">
        <f aca="false">AVERAGE($C119:$G119)</f>
        <v>0.0617946914656466</v>
      </c>
      <c r="O119" s="94" t="n">
        <f aca="false">AVERAGE($C119:$G119)</f>
        <v>0.0617946914656466</v>
      </c>
      <c r="P119" s="94" t="n">
        <f aca="false">AVERAGE($C119:$G119)</f>
        <v>0.0617946914656466</v>
      </c>
      <c r="Q119" s="94" t="n">
        <f aca="false">AVERAGE($C119:$G119)</f>
        <v>0.0617946914656466</v>
      </c>
    </row>
    <row r="120" customFormat="false" ht="15" hidden="false" customHeight="false" outlineLevel="0" collapsed="false">
      <c r="A120" s="67" t="s">
        <v>254</v>
      </c>
      <c r="C120" s="70" t="n">
        <f aca="false">C121-C118</f>
        <v>-41</v>
      </c>
      <c r="D120" s="70" t="n">
        <f aca="false">D121-D118</f>
        <v>80</v>
      </c>
      <c r="E120" s="70" t="n">
        <f aca="false">E121-E118</f>
        <v>22</v>
      </c>
      <c r="F120" s="70" t="n">
        <f aca="false">F121-F118</f>
        <v>401</v>
      </c>
      <c r="G120" s="88" t="n">
        <f aca="false">G121-G118</f>
        <v>-24</v>
      </c>
      <c r="H120" s="70" t="n">
        <f aca="false">('Income Statement'!I$8-'Income Statement'!H$8)*'Balance Sheet'!H119</f>
        <v>30.7419288777968</v>
      </c>
      <c r="I120" s="70" t="n">
        <f aca="false">('Income Statement'!J$8-'Income Statement'!I$8)*'Balance Sheet'!I119</f>
        <v>32.2165384055369</v>
      </c>
      <c r="J120" s="70" t="n">
        <f aca="false">('Income Statement'!K$8-'Income Statement'!J$8)*'Balance Sheet'!J119</f>
        <v>33.7991303825547</v>
      </c>
      <c r="K120" s="70" t="n">
        <f aca="false">('Income Statement'!L$8-'Income Statement'!K$8)*'Balance Sheet'!K119</f>
        <v>35.4987669090077</v>
      </c>
      <c r="L120" s="70" t="n">
        <f aca="false">('Income Statement'!M$8-'Income Statement'!L$8)*'Balance Sheet'!L119</f>
        <v>37.325296035118</v>
      </c>
      <c r="M120" s="70" t="n">
        <f aca="false">('Income Statement'!N$8-'Income Statement'!M$8)*'Balance Sheet'!M119</f>
        <v>39.2894204871032</v>
      </c>
      <c r="N120" s="70" t="n">
        <f aca="false">('Income Statement'!O$8-'Income Statement'!N$8)*'Balance Sheet'!N119</f>
        <v>41.4027724171167</v>
      </c>
      <c r="O120" s="70" t="n">
        <f aca="false">('Income Statement'!P$8-'Income Statement'!O$8)*'Balance Sheet'!O119</f>
        <v>43.6779947056593</v>
      </c>
      <c r="P120" s="70" t="n">
        <f aca="false">('Income Statement'!Q$8-'Income Statement'!P$8)*'Balance Sheet'!P119</f>
        <v>46.1288293912924</v>
      </c>
      <c r="Q120" s="70" t="n">
        <f aca="false">('Income Statement'!R$8-'Income Statement'!Q$8)*'Balance Sheet'!Q119</f>
        <v>48.7702138529323</v>
      </c>
    </row>
    <row r="121" customFormat="false" ht="15" hidden="false" customHeight="false" outlineLevel="0" collapsed="false">
      <c r="A121" s="67" t="s">
        <v>255</v>
      </c>
      <c r="B121" s="70" t="n">
        <f aca="false">B12</f>
        <v>1000</v>
      </c>
      <c r="C121" s="70" t="n">
        <f aca="false">C12</f>
        <v>959</v>
      </c>
      <c r="D121" s="70" t="n">
        <f aca="false">D12</f>
        <v>1039</v>
      </c>
      <c r="E121" s="70" t="n">
        <f aca="false">E12</f>
        <v>1061</v>
      </c>
      <c r="F121" s="70" t="n">
        <f aca="false">F12</f>
        <v>1462</v>
      </c>
      <c r="G121" s="88" t="n">
        <f aca="false">G12</f>
        <v>1438</v>
      </c>
      <c r="H121" s="70" t="n">
        <f aca="false">H118+H120</f>
        <v>1468.7419288778</v>
      </c>
      <c r="I121" s="70" t="n">
        <f aca="false">I118+I120</f>
        <v>1500.95846728333</v>
      </c>
      <c r="J121" s="70" t="n">
        <f aca="false">J118+J120</f>
        <v>1534.75759766589</v>
      </c>
      <c r="K121" s="70" t="n">
        <f aca="false">K118+K120</f>
        <v>1570.2563645749</v>
      </c>
      <c r="L121" s="70" t="n">
        <f aca="false">L118+L120</f>
        <v>1607.58166061001</v>
      </c>
      <c r="M121" s="70" t="n">
        <f aca="false">M118+M120</f>
        <v>1646.87108109712</v>
      </c>
      <c r="N121" s="70" t="n">
        <f aca="false">N118+N120</f>
        <v>1688.27385351423</v>
      </c>
      <c r="O121" s="70" t="n">
        <f aca="false">O118+O120</f>
        <v>1731.95184821989</v>
      </c>
      <c r="P121" s="70" t="n">
        <f aca="false">P118+P120</f>
        <v>1778.08067761119</v>
      </c>
      <c r="Q121" s="70" t="n">
        <f aca="false">Q118+Q120</f>
        <v>1826.85089146412</v>
      </c>
    </row>
    <row r="122" customFormat="false" ht="15" hidden="false" customHeight="false" outlineLevel="0" collapsed="false">
      <c r="G122" s="0"/>
    </row>
    <row r="123" customFormat="false" ht="15" hidden="false" customHeight="false" outlineLevel="0" collapsed="false">
      <c r="G123" s="0"/>
    </row>
    <row r="124" customFormat="false" ht="15" hidden="false" customHeight="false" outlineLevel="0" collapsed="false">
      <c r="A124" s="67" t="s">
        <v>185</v>
      </c>
      <c r="G124" s="0"/>
    </row>
    <row r="125" customFormat="false" ht="15" hidden="false" customHeight="false" outlineLevel="0" collapsed="false">
      <c r="A125" s="67" t="s">
        <v>252</v>
      </c>
      <c r="C125" s="70" t="n">
        <f aca="false">B128</f>
        <v>1819</v>
      </c>
      <c r="D125" s="70" t="n">
        <f aca="false">C128</f>
        <v>1339</v>
      </c>
      <c r="E125" s="70" t="n">
        <f aca="false">D128</f>
        <v>930</v>
      </c>
      <c r="F125" s="70" t="n">
        <f aca="false">E128</f>
        <v>868</v>
      </c>
      <c r="G125" s="88" t="n">
        <f aca="false">F128</f>
        <v>689</v>
      </c>
      <c r="H125" s="70" t="n">
        <f aca="false">G128</f>
        <v>594</v>
      </c>
      <c r="I125" s="70" t="n">
        <f aca="false">H128</f>
        <v>618.349540633456</v>
      </c>
      <c r="J125" s="70" t="n">
        <f aca="false">I128</f>
        <v>643.884682977193</v>
      </c>
      <c r="K125" s="70" t="n">
        <f aca="false">J128</f>
        <v>670.692617187004</v>
      </c>
      <c r="L125" s="70" t="n">
        <f aca="false">K128</f>
        <v>698.867855966848</v>
      </c>
      <c r="M125" s="70" t="n">
        <f aca="false">L128</f>
        <v>728.512869717598</v>
      </c>
      <c r="N125" s="70" t="n">
        <f aca="false">M128</f>
        <v>759.738777226037</v>
      </c>
      <c r="O125" s="70" t="n">
        <f aca="false">N128</f>
        <v>792.666096762371</v>
      </c>
      <c r="P125" s="70" t="n">
        <f aca="false">O128</f>
        <v>827.425562881582</v>
      </c>
      <c r="Q125" s="70" t="n">
        <f aca="false">P128</f>
        <v>864.159014688495</v>
      </c>
    </row>
    <row r="126" customFormat="false" ht="15" hidden="false" customHeight="false" outlineLevel="0" collapsed="false">
      <c r="A126" s="67" t="s">
        <v>260</v>
      </c>
      <c r="C126" s="80" t="n">
        <f aca="false">C128/('Income Statement'!D$3+'Income Statement'!D$4+'Income Statement'!D5)</f>
        <v>0.0786028764308776</v>
      </c>
      <c r="D126" s="80" t="n">
        <f aca="false">D128/('Income Statement'!E$3+'Income Statement'!E$4+'Income Statement'!E5)</f>
        <v>0.0505270020645442</v>
      </c>
      <c r="E126" s="80" t="n">
        <f aca="false">E128/('Income Statement'!F$3+'Income Statement'!F$4+'Income Statement'!F5)</f>
        <v>0.0497649352138516</v>
      </c>
      <c r="F126" s="80" t="n">
        <f aca="false">F128/('Income Statement'!G$3+'Income Statement'!G$4+'Income Statement'!G5)</f>
        <v>0.0385821480568933</v>
      </c>
      <c r="G126" s="80" t="n">
        <f aca="false">G128/('Income Statement'!H$3+'Income Statement'!H$4+'Income Statement'!H5)</f>
        <v>0.032217822856213</v>
      </c>
      <c r="H126" s="94" t="n">
        <f aca="false">AVERAGE($C126:$G126)</f>
        <v>0.0499389569244759</v>
      </c>
      <c r="I126" s="94" t="n">
        <f aca="false">AVERAGE($C126:$G126)</f>
        <v>0.0499389569244759</v>
      </c>
      <c r="J126" s="94" t="n">
        <f aca="false">AVERAGE($C126:$G126)</f>
        <v>0.0499389569244759</v>
      </c>
      <c r="K126" s="94" t="n">
        <f aca="false">AVERAGE($C126:$G126)</f>
        <v>0.0499389569244759</v>
      </c>
      <c r="L126" s="94" t="n">
        <f aca="false">AVERAGE($C126:$G126)</f>
        <v>0.0499389569244759</v>
      </c>
      <c r="M126" s="94" t="n">
        <f aca="false">AVERAGE($C126:$G126)</f>
        <v>0.0499389569244759</v>
      </c>
      <c r="N126" s="94" t="n">
        <f aca="false">AVERAGE($C126:$G126)</f>
        <v>0.0499389569244759</v>
      </c>
      <c r="O126" s="94" t="n">
        <f aca="false">AVERAGE($C126:$G126)</f>
        <v>0.0499389569244759</v>
      </c>
      <c r="P126" s="94" t="n">
        <f aca="false">AVERAGE($C126:$G126)</f>
        <v>0.0499389569244759</v>
      </c>
      <c r="Q126" s="94" t="n">
        <f aca="false">AVERAGE($C126:$G126)</f>
        <v>0.0499389569244759</v>
      </c>
    </row>
    <row r="127" customFormat="false" ht="15" hidden="false" customHeight="false" outlineLevel="0" collapsed="false">
      <c r="A127" s="67" t="s">
        <v>254</v>
      </c>
      <c r="C127" s="70" t="n">
        <f aca="false">C128-C125</f>
        <v>-480</v>
      </c>
      <c r="D127" s="70" t="n">
        <f aca="false">D128-D125</f>
        <v>-409</v>
      </c>
      <c r="E127" s="70" t="n">
        <f aca="false">E128-E125</f>
        <v>-62</v>
      </c>
      <c r="F127" s="70" t="n">
        <f aca="false">F128-F125</f>
        <v>-179</v>
      </c>
      <c r="G127" s="88" t="n">
        <f aca="false">G128-G125</f>
        <v>-95</v>
      </c>
      <c r="H127" s="70" t="n">
        <f aca="false">('Income Statement'!I3+'Income Statement'!I4+'Income Statement'!I5-'Income Statement'!H3-'Income Statement'!H4-'Income Statement'!H5)*'Balance Sheet'!H126</f>
        <v>24.3495406334561</v>
      </c>
      <c r="I127" s="70" t="n">
        <f aca="false">('Income Statement'!J3+'Income Statement'!J4+'Income Statement'!J5-'Income Statement'!I3-'Income Statement'!I4-'Income Statement'!I5)*'Balance Sheet'!I126</f>
        <v>25.5351423437364</v>
      </c>
      <c r="J127" s="70" t="n">
        <f aca="false">('Income Statement'!K3+'Income Statement'!K4+'Income Statement'!K5-'Income Statement'!J3-'Income Statement'!J4-'Income Statement'!J5)*'Balance Sheet'!J126</f>
        <v>26.807934209811</v>
      </c>
      <c r="K127" s="70" t="n">
        <f aca="false">('Income Statement'!L3+'Income Statement'!L4+'Income Statement'!L5-'Income Statement'!K3-'Income Statement'!K4-'Income Statement'!K5)*'Balance Sheet'!K126</f>
        <v>28.1752387798443</v>
      </c>
      <c r="L127" s="70" t="n">
        <f aca="false">('Income Statement'!M3+'Income Statement'!M4+'Income Statement'!M5-'Income Statement'!L3-'Income Statement'!L4-'Income Statement'!L5)*'Balance Sheet'!L126</f>
        <v>29.6450137507496</v>
      </c>
      <c r="M127" s="70" t="n">
        <f aca="false">('Income Statement'!N3+'Income Statement'!N4+'Income Statement'!N5-'Income Statement'!M3-'Income Statement'!M4-'Income Statement'!M5)*'Balance Sheet'!M126</f>
        <v>31.2259075084391</v>
      </c>
      <c r="N127" s="70" t="n">
        <f aca="false">('Income Statement'!O3+'Income Statement'!O4+'Income Statement'!O5-'Income Statement'!N3-'Income Statement'!N4-'Income Statement'!N5)*'Balance Sheet'!N126</f>
        <v>32.9273195363348</v>
      </c>
      <c r="O127" s="70" t="n">
        <f aca="false">('Income Statement'!P3+'Income Statement'!P4+'Income Statement'!P5-'Income Statement'!O3-'Income Statement'!O4-'Income Statement'!O5)*'Balance Sheet'!O126</f>
        <v>34.7594661192101</v>
      </c>
      <c r="P127" s="70" t="n">
        <f aca="false">('Income Statement'!Q3+'Income Statement'!Q4+'Income Statement'!Q5-'Income Statement'!P3-'Income Statement'!P4-'Income Statement'!P5)*'Balance Sheet'!P126</f>
        <v>36.7334518069134</v>
      </c>
      <c r="Q127" s="70" t="n">
        <f aca="false">('Income Statement'!R3+'Income Statement'!R4+'Income Statement'!R5-'Income Statement'!Q3-'Income Statement'!Q4-'Income Statement'!Q5)*'Balance Sheet'!Q126</f>
        <v>38.8613471432811</v>
      </c>
    </row>
    <row r="128" customFormat="false" ht="15" hidden="false" customHeight="false" outlineLevel="0" collapsed="false">
      <c r="A128" s="67" t="s">
        <v>255</v>
      </c>
      <c r="B128" s="70" t="n">
        <f aca="false">B13</f>
        <v>1819</v>
      </c>
      <c r="C128" s="70" t="n">
        <f aca="false">C13</f>
        <v>1339</v>
      </c>
      <c r="D128" s="70" t="n">
        <f aca="false">D13</f>
        <v>930</v>
      </c>
      <c r="E128" s="70" t="n">
        <f aca="false">E13</f>
        <v>868</v>
      </c>
      <c r="F128" s="70" t="n">
        <f aca="false">F13</f>
        <v>689</v>
      </c>
      <c r="G128" s="70" t="n">
        <f aca="false">G13</f>
        <v>594</v>
      </c>
      <c r="H128" s="70" t="n">
        <f aca="false">H125+H127</f>
        <v>618.349540633456</v>
      </c>
      <c r="I128" s="70" t="n">
        <f aca="false">I125+I127</f>
        <v>643.884682977193</v>
      </c>
      <c r="J128" s="70" t="n">
        <f aca="false">J125+J127</f>
        <v>670.692617187004</v>
      </c>
      <c r="K128" s="70" t="n">
        <f aca="false">K125+K127</f>
        <v>698.867855966848</v>
      </c>
      <c r="L128" s="70" t="n">
        <f aca="false">L125+L127</f>
        <v>728.512869717598</v>
      </c>
      <c r="M128" s="70" t="n">
        <f aca="false">M125+M127</f>
        <v>759.738777226037</v>
      </c>
      <c r="N128" s="70" t="n">
        <f aca="false">N125+N127</f>
        <v>792.666096762371</v>
      </c>
      <c r="O128" s="70" t="n">
        <f aca="false">O125+O127</f>
        <v>827.425562881582</v>
      </c>
      <c r="P128" s="70" t="n">
        <f aca="false">P125+P127</f>
        <v>864.159014688495</v>
      </c>
      <c r="Q128" s="70" t="n">
        <f aca="false">Q125+Q127</f>
        <v>903.020361831776</v>
      </c>
    </row>
    <row r="129" customFormat="false" ht="15" hidden="false" customHeight="false" outlineLevel="0" collapsed="false">
      <c r="G129" s="0"/>
    </row>
    <row r="130" customFormat="false" ht="15" hidden="false" customHeight="false" outlineLevel="0" collapsed="false">
      <c r="G130" s="0"/>
    </row>
    <row r="131" customFormat="false" ht="15" hidden="false" customHeight="false" outlineLevel="0" collapsed="false">
      <c r="A131" s="67" t="s">
        <v>187</v>
      </c>
      <c r="G131" s="0"/>
    </row>
    <row r="132" customFormat="false" ht="15" hidden="false" customHeight="false" outlineLevel="0" collapsed="false">
      <c r="A132" s="67" t="s">
        <v>252</v>
      </c>
      <c r="C132" s="70" t="n">
        <f aca="false">B135</f>
        <v>0</v>
      </c>
      <c r="D132" s="70" t="n">
        <f aca="false">C135</f>
        <v>0</v>
      </c>
      <c r="E132" s="70" t="n">
        <f aca="false">D135</f>
        <v>0</v>
      </c>
      <c r="F132" s="70" t="n">
        <f aca="false">E135</f>
        <v>0</v>
      </c>
      <c r="G132" s="88" t="n">
        <f aca="false">F135</f>
        <v>631</v>
      </c>
      <c r="H132" s="70" t="n">
        <f aca="false">G135</f>
        <v>595</v>
      </c>
      <c r="I132" s="70" t="n">
        <f aca="false">H135</f>
        <v>592.599854943058</v>
      </c>
      <c r="J132" s="70" t="n">
        <f aca="false">I135</f>
        <v>592.599854943058</v>
      </c>
      <c r="K132" s="70" t="n">
        <f aca="false">J135</f>
        <v>592.599854943058</v>
      </c>
      <c r="L132" s="70" t="n">
        <f aca="false">K135</f>
        <v>592.599854943058</v>
      </c>
      <c r="M132" s="70" t="n">
        <f aca="false">L135</f>
        <v>592.599854943058</v>
      </c>
      <c r="N132" s="70" t="n">
        <f aca="false">M135</f>
        <v>592.599854943058</v>
      </c>
      <c r="O132" s="70" t="n">
        <f aca="false">N135</f>
        <v>592.599854943058</v>
      </c>
      <c r="P132" s="70" t="n">
        <f aca="false">O135</f>
        <v>592.599854943058</v>
      </c>
      <c r="Q132" s="70" t="n">
        <f aca="false">P135</f>
        <v>592.599854943058</v>
      </c>
    </row>
    <row r="133" customFormat="false" ht="15" hidden="false" customHeight="false" outlineLevel="0" collapsed="false">
      <c r="A133" s="67" t="s">
        <v>261</v>
      </c>
      <c r="C133" s="80" t="n">
        <f aca="false">C135/('Income Statement'!D$3+'Income Statement'!D$4+'Income Statement'!D12)</f>
        <v>0</v>
      </c>
      <c r="D133" s="80" t="n">
        <f aca="false">D135/('Income Statement'!E$3+'Income Statement'!E$4+'Income Statement'!E12)</f>
        <v>0</v>
      </c>
      <c r="E133" s="80" t="n">
        <f aca="false">E135/('Income Statement'!F$3+'Income Statement'!F$4+'Income Statement'!F12)</f>
        <v>0</v>
      </c>
      <c r="F133" s="80" t="n">
        <f aca="false">F135/('Income Statement'!G$3+'Income Statement'!G$4+'Income Statement'!G12)</f>
        <v>0.0355032915095932</v>
      </c>
      <c r="G133" s="80" t="n">
        <f aca="false">G135/('Income Statement'!H$3+'Income Statement'!H$4+'Income Statement'!H12)</f>
        <v>0.0307382342305109</v>
      </c>
      <c r="H133" s="94" t="n">
        <f aca="false">AVERAGE($F133:$G133)</f>
        <v>0.0331207628700521</v>
      </c>
      <c r="I133" s="94" t="n">
        <f aca="false">AVERAGE($F133:$G133)</f>
        <v>0.0331207628700521</v>
      </c>
      <c r="J133" s="94" t="n">
        <f aca="false">AVERAGE($F133:$G133)</f>
        <v>0.0331207628700521</v>
      </c>
      <c r="K133" s="94" t="n">
        <f aca="false">AVERAGE($F133:$G133)</f>
        <v>0.0331207628700521</v>
      </c>
      <c r="L133" s="94" t="n">
        <f aca="false">AVERAGE($F133:$G133)</f>
        <v>0.0331207628700521</v>
      </c>
      <c r="M133" s="94" t="n">
        <f aca="false">AVERAGE($F133:$G133)</f>
        <v>0.0331207628700521</v>
      </c>
      <c r="N133" s="94" t="n">
        <f aca="false">AVERAGE($F133:$G133)</f>
        <v>0.0331207628700521</v>
      </c>
      <c r="O133" s="94" t="n">
        <f aca="false">AVERAGE($F133:$G133)</f>
        <v>0.0331207628700521</v>
      </c>
      <c r="P133" s="94" t="n">
        <f aca="false">AVERAGE($F133:$G133)</f>
        <v>0.0331207628700521</v>
      </c>
      <c r="Q133" s="94" t="n">
        <f aca="false">AVERAGE($F133:$G133)</f>
        <v>0.0331207628700521</v>
      </c>
    </row>
    <row r="134" customFormat="false" ht="15" hidden="false" customHeight="false" outlineLevel="0" collapsed="false">
      <c r="A134" s="67" t="s">
        <v>254</v>
      </c>
      <c r="C134" s="70" t="n">
        <f aca="false">C135-C132</f>
        <v>0</v>
      </c>
      <c r="D134" s="70" t="n">
        <f aca="false">D135-D132</f>
        <v>0</v>
      </c>
      <c r="E134" s="70" t="n">
        <f aca="false">E135-E132</f>
        <v>0</v>
      </c>
      <c r="F134" s="70" t="n">
        <f aca="false">F135-F132</f>
        <v>631</v>
      </c>
      <c r="G134" s="88" t="n">
        <f aca="false">G135-G132</f>
        <v>-36</v>
      </c>
      <c r="H134" s="70" t="n">
        <f aca="false">('Income Statement'!I12-'Income Statement'!H12)*'Balance Sheet'!H133</f>
        <v>-2.40014505694247</v>
      </c>
      <c r="I134" s="70" t="n">
        <f aca="false">('Income Statement'!J12-'Income Statement'!I12)*'Balance Sheet'!I133</f>
        <v>0</v>
      </c>
      <c r="J134" s="70" t="n">
        <f aca="false">('Income Statement'!K12-'Income Statement'!J12)*'Balance Sheet'!J133</f>
        <v>0</v>
      </c>
      <c r="K134" s="70" t="n">
        <f aca="false">('Income Statement'!L12-'Income Statement'!K12)*'Balance Sheet'!K133</f>
        <v>0</v>
      </c>
      <c r="L134" s="70" t="n">
        <f aca="false">('Income Statement'!M12-'Income Statement'!L12)*'Balance Sheet'!L133</f>
        <v>0</v>
      </c>
      <c r="M134" s="70" t="n">
        <f aca="false">('Income Statement'!N12-'Income Statement'!M12)*'Balance Sheet'!M133</f>
        <v>0</v>
      </c>
      <c r="N134" s="70" t="n">
        <f aca="false">('Income Statement'!O12-'Income Statement'!N12)*'Balance Sheet'!N133</f>
        <v>0</v>
      </c>
      <c r="O134" s="70" t="n">
        <f aca="false">('Income Statement'!P12-'Income Statement'!O12)*'Balance Sheet'!O133</f>
        <v>0</v>
      </c>
      <c r="P134" s="70" t="n">
        <f aca="false">('Income Statement'!Q12-'Income Statement'!P12)*'Balance Sheet'!P133</f>
        <v>0</v>
      </c>
      <c r="Q134" s="70" t="n">
        <f aca="false">('Income Statement'!R12-'Income Statement'!Q12)*'Balance Sheet'!Q133</f>
        <v>0</v>
      </c>
    </row>
    <row r="135" customFormat="false" ht="15" hidden="false" customHeight="false" outlineLevel="0" collapsed="false">
      <c r="A135" s="67" t="s">
        <v>255</v>
      </c>
      <c r="B135" s="70" t="n">
        <f aca="false">B15</f>
        <v>0</v>
      </c>
      <c r="C135" s="70" t="n">
        <f aca="false">C15</f>
        <v>0</v>
      </c>
      <c r="D135" s="70" t="n">
        <f aca="false">D15</f>
        <v>0</v>
      </c>
      <c r="E135" s="70" t="n">
        <f aca="false">E15</f>
        <v>0</v>
      </c>
      <c r="F135" s="70" t="n">
        <f aca="false">F15</f>
        <v>631</v>
      </c>
      <c r="G135" s="70" t="n">
        <f aca="false">G15</f>
        <v>595</v>
      </c>
      <c r="H135" s="70" t="n">
        <f aca="false">H132+H134</f>
        <v>592.599854943058</v>
      </c>
      <c r="I135" s="70" t="n">
        <f aca="false">I132+I134</f>
        <v>592.599854943058</v>
      </c>
      <c r="J135" s="70" t="n">
        <f aca="false">J132+J134</f>
        <v>592.599854943058</v>
      </c>
      <c r="K135" s="70" t="n">
        <f aca="false">K132+K134</f>
        <v>592.599854943058</v>
      </c>
      <c r="L135" s="70" t="n">
        <f aca="false">L132+L134</f>
        <v>592.599854943058</v>
      </c>
      <c r="M135" s="70" t="n">
        <f aca="false">M132+M134</f>
        <v>592.599854943058</v>
      </c>
      <c r="N135" s="70" t="n">
        <f aca="false">N132+N134</f>
        <v>592.599854943058</v>
      </c>
      <c r="O135" s="70" t="n">
        <f aca="false">O132+O134</f>
        <v>592.599854943058</v>
      </c>
      <c r="P135" s="70" t="n">
        <f aca="false">P132+P134</f>
        <v>592.599854943058</v>
      </c>
      <c r="Q135" s="70" t="n">
        <f aca="false">Q132+Q134</f>
        <v>592.599854943058</v>
      </c>
    </row>
    <row r="136" customFormat="false" ht="15" hidden="false" customHeight="false" outlineLevel="0" collapsed="false">
      <c r="G136" s="0"/>
    </row>
    <row r="137" customFormat="false" ht="15" hidden="false" customHeight="false" outlineLevel="0" collapsed="false">
      <c r="G137" s="0"/>
    </row>
    <row r="138" customFormat="false" ht="15" hidden="false" customHeight="false" outlineLevel="0" collapsed="false">
      <c r="A138" s="67" t="s">
        <v>188</v>
      </c>
      <c r="G138" s="0"/>
    </row>
    <row r="139" customFormat="false" ht="15" hidden="false" customHeight="false" outlineLevel="0" collapsed="false">
      <c r="A139" s="67" t="s">
        <v>252</v>
      </c>
      <c r="C139" s="70" t="n">
        <f aca="false">B142</f>
        <v>657</v>
      </c>
      <c r="D139" s="70" t="n">
        <f aca="false">C142</f>
        <v>278</v>
      </c>
      <c r="E139" s="70" t="n">
        <f aca="false">D142</f>
        <v>665</v>
      </c>
      <c r="F139" s="70" t="n">
        <f aca="false">E142</f>
        <v>495</v>
      </c>
      <c r="G139" s="88" t="n">
        <f aca="false">F142</f>
        <v>364</v>
      </c>
      <c r="H139" s="70" t="n">
        <f aca="false">G142</f>
        <v>452</v>
      </c>
      <c r="I139" s="70" t="n">
        <f aca="false">H142</f>
        <v>473.877944669088</v>
      </c>
      <c r="J139" s="70" t="n">
        <f aca="false">I142</f>
        <v>494.177297696831</v>
      </c>
      <c r="K139" s="70" t="n">
        <f aca="false">J142</f>
        <v>515.520502496921</v>
      </c>
      <c r="L139" s="70" t="n">
        <f aca="false">K142</f>
        <v>537.969725036527</v>
      </c>
      <c r="M139" s="70" t="n">
        <f aca="false">L142</f>
        <v>561.591185455898</v>
      </c>
      <c r="N139" s="70" t="n">
        <f aca="false">M142</f>
        <v>586.455442356185</v>
      </c>
      <c r="O139" s="70" t="n">
        <f aca="false">N142</f>
        <v>612.637698301014</v>
      </c>
      <c r="P139" s="70" t="n">
        <f aca="false">O142</f>
        <v>640.218128196878</v>
      </c>
      <c r="Q139" s="70" t="n">
        <f aca="false">P142</f>
        <v>669.282232353156</v>
      </c>
    </row>
    <row r="140" customFormat="false" ht="15" hidden="false" customHeight="false" outlineLevel="0" collapsed="false">
      <c r="A140" s="67" t="s">
        <v>262</v>
      </c>
      <c r="C140" s="80" t="n">
        <f aca="false">C142/('Income Statement'!C10+'Income Statement'!C11+'Income Statement'!C12+'Income Statement'!C13+'Income Statement'!C14)</f>
        <v>0.0296596607276219</v>
      </c>
      <c r="D140" s="80" t="n">
        <f aca="false">D142/('Income Statement'!D10+'Income Statement'!D11+'Income Statement'!D12+'Income Statement'!D13+'Income Statement'!D14)</f>
        <v>0.0677396353264745</v>
      </c>
      <c r="E140" s="80" t="n">
        <f aca="false">E142/('Income Statement'!E10+'Income Statement'!E11+'Income Statement'!E12+'Income Statement'!E13+'Income Statement'!E14)</f>
        <v>0.0448735382104977</v>
      </c>
      <c r="F140" s="80" t="n">
        <f aca="false">F142/('Income Statement'!F10+'Income Statement'!F11+'Income Statement'!F12+'Income Statement'!F13+'Income Statement'!F14)</f>
        <v>0.0371012129242687</v>
      </c>
      <c r="G140" s="80" t="n">
        <f aca="false">G142/('Income Statement'!G10+'Income Statement'!G11+'Income Statement'!G12+'Income Statement'!G13+'Income Statement'!G14)</f>
        <v>0.0402708481824661</v>
      </c>
      <c r="H140" s="94" t="n">
        <f aca="false">AVERAGE($C140:$G140)</f>
        <v>0.0439289790742658</v>
      </c>
      <c r="I140" s="94" t="n">
        <f aca="false">AVERAGE($C140:$G140)</f>
        <v>0.0439289790742658</v>
      </c>
      <c r="J140" s="94" t="n">
        <f aca="false">AVERAGE($C140:$G140)</f>
        <v>0.0439289790742658</v>
      </c>
      <c r="K140" s="94" t="n">
        <f aca="false">AVERAGE($C140:$G140)</f>
        <v>0.0439289790742658</v>
      </c>
      <c r="L140" s="94" t="n">
        <f aca="false">AVERAGE($C140:$G140)</f>
        <v>0.0439289790742658</v>
      </c>
      <c r="M140" s="94" t="n">
        <f aca="false">AVERAGE($C140:$G140)</f>
        <v>0.0439289790742658</v>
      </c>
      <c r="N140" s="94" t="n">
        <f aca="false">AVERAGE($C140:$G140)</f>
        <v>0.0439289790742658</v>
      </c>
      <c r="O140" s="94" t="n">
        <f aca="false">AVERAGE($C140:$G140)</f>
        <v>0.0439289790742658</v>
      </c>
      <c r="P140" s="94" t="n">
        <f aca="false">AVERAGE($C140:$G140)</f>
        <v>0.0439289790742658</v>
      </c>
      <c r="Q140" s="94" t="n">
        <f aca="false">AVERAGE($C140:$G140)</f>
        <v>0.0439289790742658</v>
      </c>
    </row>
    <row r="141" customFormat="false" ht="15" hidden="false" customHeight="false" outlineLevel="0" collapsed="false">
      <c r="A141" s="67" t="s">
        <v>254</v>
      </c>
      <c r="C141" s="70" t="n">
        <f aca="false">C142-C139</f>
        <v>-379</v>
      </c>
      <c r="D141" s="70" t="n">
        <f aca="false">D142-D139</f>
        <v>387</v>
      </c>
      <c r="E141" s="70" t="n">
        <f aca="false">E142-E139</f>
        <v>-170</v>
      </c>
      <c r="F141" s="70" t="n">
        <f aca="false">F142-F139</f>
        <v>-131</v>
      </c>
      <c r="G141" s="88" t="n">
        <f aca="false">G142-G139</f>
        <v>88</v>
      </c>
      <c r="H141" s="70" t="n">
        <f aca="false">('Income Statement'!I10+'Income Statement'!I11+'Income Statement'!I12+'Income Statement'!I13+'Income Statement'!I14-'Income Statement'!H10-'Income Statement'!H11-'Income Statement'!H12-'Income Statement'!H13-'Income Statement'!H14)*'Balance Sheet'!H140</f>
        <v>21.8779446690885</v>
      </c>
      <c r="I141" s="70" t="n">
        <f aca="false">('Income Statement'!J10+'Income Statement'!J11+'Income Statement'!J12+'Income Statement'!J13+'Income Statement'!J14-'Income Statement'!I10-'Income Statement'!I11-'Income Statement'!I12-'Income Statement'!I13-'Income Statement'!I14)*'Balance Sheet'!I140</f>
        <v>20.2993530277426</v>
      </c>
      <c r="J141" s="70" t="n">
        <f aca="false">('Income Statement'!K10+'Income Statement'!K11+'Income Statement'!K12+'Income Statement'!K13+'Income Statement'!K14-'Income Statement'!J10-'Income Statement'!J11-'Income Statement'!J12-'Income Statement'!J13-'Income Statement'!J14)*'Balance Sheet'!J140</f>
        <v>21.34320480009</v>
      </c>
      <c r="K141" s="70" t="n">
        <f aca="false">('Income Statement'!L10+'Income Statement'!L11+'Income Statement'!L12+'Income Statement'!L13+'Income Statement'!L14-'Income Statement'!K10-'Income Statement'!K11-'Income Statement'!K12-'Income Statement'!K13-'Income Statement'!K14)*'Balance Sheet'!K140</f>
        <v>22.4492225396062</v>
      </c>
      <c r="L141" s="70" t="n">
        <f aca="false">('Income Statement'!M10+'Income Statement'!M11+'Income Statement'!M12+'Income Statement'!M13+'Income Statement'!M14-'Income Statement'!L10-'Income Statement'!L11-'Income Statement'!L12-'Income Statement'!L13-'Income Statement'!L14)*'Balance Sheet'!L140</f>
        <v>23.6214604193707</v>
      </c>
      <c r="M141" s="70" t="n">
        <f aca="false">('Income Statement'!N10+'Income Statement'!N11+'Income Statement'!N12+'Income Statement'!N13+'Income Statement'!N14-'Income Statement'!M10-'Income Statement'!M11-'Income Statement'!M12-'Income Statement'!M13-'Income Statement'!M14)*'Balance Sheet'!M140</f>
        <v>24.8642569002865</v>
      </c>
      <c r="N141" s="70" t="n">
        <f aca="false">('Income Statement'!O10+'Income Statement'!O11+'Income Statement'!O12+'Income Statement'!O13+'Income Statement'!O14-'Income Statement'!N10-'Income Statement'!N11-'Income Statement'!N12-'Income Statement'!N13-'Income Statement'!N14)*'Balance Sheet'!N140</f>
        <v>26.1822559448293</v>
      </c>
      <c r="O141" s="70" t="n">
        <f aca="false">('Income Statement'!P10+'Income Statement'!P11+'Income Statement'!P12+'Income Statement'!P13+'Income Statement'!P14-'Income Statement'!O10-'Income Statement'!O11-'Income Statement'!O12-'Income Statement'!O13-'Income Statement'!O14)*'Balance Sheet'!O140</f>
        <v>27.5804298958643</v>
      </c>
      <c r="P141" s="70" t="n">
        <f aca="false">('Income Statement'!Q10+'Income Statement'!Q11+'Income Statement'!Q12+'Income Statement'!Q13+'Income Statement'!Q14-'Income Statement'!P10-'Income Statement'!P11-'Income Statement'!P12-'Income Statement'!P13-'Income Statement'!P14)*'Balance Sheet'!P140</f>
        <v>29.0641041562779</v>
      </c>
      <c r="Q141" s="70" t="n">
        <f aca="false">('Income Statement'!R10+'Income Statement'!R11+'Income Statement'!R12+'Income Statement'!R13+'Income Statement'!R14-'Income Statement'!Q10-'Income Statement'!Q11-'Income Statement'!Q12-'Income Statement'!Q13-'Income Statement'!Q14)*'Balance Sheet'!Q140</f>
        <v>30.6389838165356</v>
      </c>
    </row>
    <row r="142" customFormat="false" ht="15" hidden="false" customHeight="false" outlineLevel="0" collapsed="false">
      <c r="A142" s="67" t="s">
        <v>255</v>
      </c>
      <c r="B142" s="70" t="n">
        <f aca="false">B16</f>
        <v>657</v>
      </c>
      <c r="C142" s="70" t="n">
        <f aca="false">C16</f>
        <v>278</v>
      </c>
      <c r="D142" s="70" t="n">
        <f aca="false">D16</f>
        <v>665</v>
      </c>
      <c r="E142" s="70" t="n">
        <f aca="false">E16</f>
        <v>495</v>
      </c>
      <c r="F142" s="70" t="n">
        <f aca="false">F16</f>
        <v>364</v>
      </c>
      <c r="G142" s="70" t="n">
        <f aca="false">G16</f>
        <v>452</v>
      </c>
      <c r="H142" s="70" t="n">
        <f aca="false">H139+H141</f>
        <v>473.877944669088</v>
      </c>
      <c r="I142" s="70" t="n">
        <f aca="false">I139+I141</f>
        <v>494.177297696831</v>
      </c>
      <c r="J142" s="70" t="n">
        <f aca="false">J139+J141</f>
        <v>515.520502496921</v>
      </c>
      <c r="K142" s="70" t="n">
        <f aca="false">K139+K141</f>
        <v>537.969725036527</v>
      </c>
      <c r="L142" s="70" t="n">
        <f aca="false">L139+L141</f>
        <v>561.591185455898</v>
      </c>
      <c r="M142" s="70" t="n">
        <f aca="false">M139+M141</f>
        <v>586.455442356185</v>
      </c>
      <c r="N142" s="70" t="n">
        <f aca="false">N139+N141</f>
        <v>612.637698301014</v>
      </c>
      <c r="O142" s="70" t="n">
        <f aca="false">O139+O141</f>
        <v>640.218128196878</v>
      </c>
      <c r="P142" s="70" t="n">
        <f aca="false">P139+P141</f>
        <v>669.282232353156</v>
      </c>
      <c r="Q142" s="70" t="n">
        <f aca="false">Q139+Q141</f>
        <v>699.921216169692</v>
      </c>
    </row>
    <row r="143" customFormat="false" ht="15" hidden="false" customHeight="false" outlineLevel="0" collapsed="false">
      <c r="G143" s="0"/>
    </row>
    <row r="144" customFormat="false" ht="15" hidden="false" customHeight="false" outlineLevel="0" collapsed="false">
      <c r="G144" s="0"/>
    </row>
    <row r="145" customFormat="false" ht="15" hidden="false" customHeight="false" outlineLevel="0" collapsed="false">
      <c r="A145" s="67" t="s">
        <v>263</v>
      </c>
      <c r="G145" s="0"/>
    </row>
    <row r="146" customFormat="false" ht="15" hidden="false" customHeight="false" outlineLevel="0" collapsed="false">
      <c r="A146" s="67" t="s">
        <v>252</v>
      </c>
      <c r="C146" s="70" t="n">
        <f aca="false">B149</f>
        <v>402</v>
      </c>
      <c r="D146" s="70" t="n">
        <f aca="false">C149</f>
        <v>560</v>
      </c>
      <c r="E146" s="70" t="n">
        <f aca="false">D149</f>
        <v>573</v>
      </c>
      <c r="F146" s="70" t="n">
        <f aca="false">E149</f>
        <v>651</v>
      </c>
      <c r="G146" s="88" t="n">
        <f aca="false">F149</f>
        <v>811</v>
      </c>
      <c r="H146" s="70" t="n">
        <f aca="false">G149</f>
        <v>815</v>
      </c>
      <c r="I146" s="70" t="n">
        <f aca="false">H149</f>
        <v>832.628301631264</v>
      </c>
      <c r="J146" s="70" t="n">
        <f aca="false">I149</f>
        <v>851.102186558444</v>
      </c>
      <c r="K146" s="70" t="n">
        <f aca="false">J149</f>
        <v>870.483575007638</v>
      </c>
      <c r="L146" s="70" t="n">
        <f aca="false">K149</f>
        <v>890.839583672464</v>
      </c>
      <c r="M146" s="70" t="n">
        <f aca="false">L149</f>
        <v>912.242976400319</v>
      </c>
      <c r="N146" s="70" t="n">
        <f aca="false">M149</f>
        <v>934.772654288047</v>
      </c>
      <c r="O146" s="70" t="n">
        <f aca="false">N149</f>
        <v>958.514188641365</v>
      </c>
      <c r="P146" s="70" t="n">
        <f aca="false">O149</f>
        <v>983.56040055542</v>
      </c>
      <c r="Q146" s="70" t="n">
        <f aca="false">P149</f>
        <v>1010.01199120346</v>
      </c>
    </row>
    <row r="147" customFormat="false" ht="15" hidden="false" customHeight="false" outlineLevel="0" collapsed="false">
      <c r="A147" s="67" t="s">
        <v>259</v>
      </c>
      <c r="C147" s="80" t="n">
        <f aca="false">C149/('Income Statement'!D8)</f>
        <v>0.0327734535026628</v>
      </c>
      <c r="D147" s="80" t="n">
        <f aca="false">D149/('Income Statement'!E8)</f>
        <v>0.0310283207884334</v>
      </c>
      <c r="E147" s="80" t="n">
        <f aca="false">E149/('Income Statement'!F8)</f>
        <v>0.0372233975641832</v>
      </c>
      <c r="F147" s="80" t="n">
        <f aca="false">F149/('Income Statement'!G8)</f>
        <v>0.040761962203458</v>
      </c>
      <c r="G147" s="80" t="n">
        <f aca="false">G149/('Income Statement'!H8)</f>
        <v>0.0353870869697364</v>
      </c>
      <c r="H147" s="94" t="n">
        <f aca="false">AVERAGE($C147:$G147)</f>
        <v>0.0354348442056948</v>
      </c>
      <c r="I147" s="94" t="n">
        <f aca="false">AVERAGE($C147:$G147)</f>
        <v>0.0354348442056948</v>
      </c>
      <c r="J147" s="94" t="n">
        <f aca="false">AVERAGE($C147:$G147)</f>
        <v>0.0354348442056948</v>
      </c>
      <c r="K147" s="94" t="n">
        <f aca="false">AVERAGE($C147:$G147)</f>
        <v>0.0354348442056948</v>
      </c>
      <c r="L147" s="94" t="n">
        <f aca="false">AVERAGE($C147:$G147)</f>
        <v>0.0354348442056948</v>
      </c>
      <c r="M147" s="94" t="n">
        <f aca="false">AVERAGE($C147:$G147)</f>
        <v>0.0354348442056948</v>
      </c>
      <c r="N147" s="94" t="n">
        <f aca="false">AVERAGE($C147:$G147)</f>
        <v>0.0354348442056948</v>
      </c>
      <c r="O147" s="94" t="n">
        <f aca="false">AVERAGE($C147:$G147)</f>
        <v>0.0354348442056948</v>
      </c>
      <c r="P147" s="94" t="n">
        <f aca="false">AVERAGE($C147:$G147)</f>
        <v>0.0354348442056948</v>
      </c>
      <c r="Q147" s="94" t="n">
        <f aca="false">AVERAGE($C147:$G147)</f>
        <v>0.0354348442056948</v>
      </c>
    </row>
    <row r="148" customFormat="false" ht="15" hidden="false" customHeight="false" outlineLevel="0" collapsed="false">
      <c r="A148" s="67" t="s">
        <v>254</v>
      </c>
      <c r="C148" s="70" t="n">
        <f aca="false">C149-C146</f>
        <v>158</v>
      </c>
      <c r="D148" s="70" t="n">
        <f aca="false">D149-D146</f>
        <v>13</v>
      </c>
      <c r="E148" s="70" t="n">
        <f aca="false">E149-E146</f>
        <v>78</v>
      </c>
      <c r="F148" s="70" t="n">
        <f aca="false">F149-F146</f>
        <v>160</v>
      </c>
      <c r="G148" s="88" t="n">
        <f aca="false">G149-G146</f>
        <v>4</v>
      </c>
      <c r="H148" s="70" t="n">
        <f aca="false">('Income Statement'!I$8-'Income Statement'!H$8)*'Balance Sheet'!H147</f>
        <v>17.6283016312634</v>
      </c>
      <c r="I148" s="70" t="n">
        <f aca="false">('Income Statement'!J$8-'Income Statement'!I$8)*'Balance Sheet'!I147</f>
        <v>18.4738849271806</v>
      </c>
      <c r="J148" s="70" t="n">
        <f aca="false">('Income Statement'!K$8-'Income Statement'!J$8)*'Balance Sheet'!J147</f>
        <v>19.381388449194</v>
      </c>
      <c r="K148" s="70" t="n">
        <f aca="false">('Income Statement'!L$8-'Income Statement'!K$8)*'Balance Sheet'!K147</f>
        <v>20.3560086648262</v>
      </c>
      <c r="L148" s="70" t="n">
        <f aca="false">('Income Statement'!M$8-'Income Statement'!L$8)*'Balance Sheet'!L147</f>
        <v>21.4033927278547</v>
      </c>
      <c r="M148" s="70" t="n">
        <f aca="false">('Income Statement'!N$8-'Income Statement'!M$8)*'Balance Sheet'!M147</f>
        <v>22.5296778877277</v>
      </c>
      <c r="N148" s="70" t="n">
        <f aca="false">('Income Statement'!O$8-'Income Statement'!N$8)*'Balance Sheet'!N147</f>
        <v>23.7415343533185</v>
      </c>
      <c r="O148" s="70" t="n">
        <f aca="false">('Income Statement'!P$8-'Income Statement'!O$8)*'Balance Sheet'!O147</f>
        <v>25.0462119140544</v>
      </c>
      <c r="P148" s="70" t="n">
        <f aca="false">('Income Statement'!Q$8-'Income Statement'!P$8)*'Balance Sheet'!P147</f>
        <v>26.4515906480449</v>
      </c>
      <c r="Q148" s="70" t="n">
        <f aca="false">('Income Statement'!R$8-'Income Statement'!Q$8)*'Balance Sheet'!Q147</f>
        <v>27.9662360757608</v>
      </c>
    </row>
    <row r="149" customFormat="false" ht="15" hidden="false" customHeight="false" outlineLevel="0" collapsed="false">
      <c r="A149" s="67" t="s">
        <v>255</v>
      </c>
      <c r="B149" s="70" t="n">
        <f aca="false">(B14+B17+B18+B19)</f>
        <v>402</v>
      </c>
      <c r="C149" s="70" t="n">
        <f aca="false">(C14+C17+C18+C19)</f>
        <v>560</v>
      </c>
      <c r="D149" s="70" t="n">
        <f aca="false">(D14+D17+D18+D19)</f>
        <v>573</v>
      </c>
      <c r="E149" s="70" t="n">
        <f aca="false">(E14+E17+E18+E19)</f>
        <v>651</v>
      </c>
      <c r="F149" s="70" t="n">
        <f aca="false">(F14+F17+F18+F19)</f>
        <v>811</v>
      </c>
      <c r="G149" s="70" t="n">
        <f aca="false">(G14+G17+G18+G19)</f>
        <v>815</v>
      </c>
      <c r="H149" s="70" t="n">
        <f aca="false">H146+H148</f>
        <v>832.628301631264</v>
      </c>
      <c r="I149" s="70" t="n">
        <f aca="false">I146+I148</f>
        <v>851.102186558444</v>
      </c>
      <c r="J149" s="70" t="n">
        <f aca="false">J146+J148</f>
        <v>870.483575007638</v>
      </c>
      <c r="K149" s="70" t="n">
        <f aca="false">K146+K148</f>
        <v>890.839583672464</v>
      </c>
      <c r="L149" s="70" t="n">
        <f aca="false">L146+L148</f>
        <v>912.242976400319</v>
      </c>
      <c r="M149" s="70" t="n">
        <f aca="false">M146+M148</f>
        <v>934.772654288047</v>
      </c>
      <c r="N149" s="70" t="n">
        <f aca="false">N146+N148</f>
        <v>958.514188641365</v>
      </c>
      <c r="O149" s="70" t="n">
        <f aca="false">O146+O148</f>
        <v>983.56040055542</v>
      </c>
      <c r="P149" s="70" t="n">
        <f aca="false">P146+P148</f>
        <v>1010.01199120346</v>
      </c>
      <c r="Q149" s="70" t="n">
        <f aca="false">Q146+Q148</f>
        <v>1037.97822727923</v>
      </c>
    </row>
    <row r="150" customFormat="false" ht="15" hidden="false" customHeight="false" outlineLevel="0" collapsed="false">
      <c r="G150" s="0"/>
    </row>
    <row r="151" customFormat="false" ht="15" hidden="false" customHeight="false" outlineLevel="0" collapsed="false">
      <c r="G151" s="0"/>
    </row>
    <row r="152" customFormat="false" ht="15" hidden="false" customHeight="false" outlineLevel="0" collapsed="false">
      <c r="A152" s="67" t="s">
        <v>264</v>
      </c>
      <c r="G152" s="0"/>
    </row>
    <row r="153" customFormat="false" ht="15" hidden="false" customHeight="false" outlineLevel="0" collapsed="false">
      <c r="A153" s="67" t="s">
        <v>252</v>
      </c>
      <c r="C153" s="70" t="n">
        <f aca="false">B156</f>
        <v>21964</v>
      </c>
      <c r="D153" s="70" t="n">
        <f aca="false">C156</f>
        <v>23059</v>
      </c>
      <c r="E153" s="70" t="n">
        <f aca="false">D156</f>
        <v>24059</v>
      </c>
      <c r="F153" s="70" t="n">
        <f aca="false">E156</f>
        <v>24253</v>
      </c>
      <c r="G153" s="88" t="n">
        <f aca="false">F156</f>
        <v>29852</v>
      </c>
      <c r="H153" s="70" t="n">
        <f aca="false">G156</f>
        <v>31457</v>
      </c>
      <c r="I153" s="70" t="n">
        <f aca="false">H156</f>
        <v>35533.9452544491</v>
      </c>
      <c r="J153" s="70" t="n">
        <f aca="false">I156</f>
        <v>37570.5683548829</v>
      </c>
      <c r="K153" s="70" t="n">
        <f aca="false">J156</f>
        <v>39723.9202233587</v>
      </c>
      <c r="L153" s="70" t="n">
        <f aca="false">K156</f>
        <v>42000.6911528842</v>
      </c>
      <c r="M153" s="70" t="n">
        <f aca="false">L156</f>
        <v>44407.9548896752</v>
      </c>
      <c r="N153" s="70" t="n">
        <f aca="false">M156</f>
        <v>46953.1906107217</v>
      </c>
      <c r="O153" s="70" t="n">
        <f aca="false">N156</f>
        <v>49644.3061609967</v>
      </c>
      <c r="P153" s="70" t="n">
        <f aca="false">O156</f>
        <v>52489.6626225012</v>
      </c>
      <c r="Q153" s="70" t="n">
        <f aca="false">P156</f>
        <v>55498.1002914813</v>
      </c>
    </row>
    <row r="154" customFormat="false" ht="15" hidden="false" customHeight="false" outlineLevel="0" collapsed="false">
      <c r="A154" s="67" t="s">
        <v>265</v>
      </c>
      <c r="C154" s="80" t="n">
        <f aca="false">C156/C22</f>
        <v>0.349267657260569</v>
      </c>
      <c r="D154" s="80" t="n">
        <f aca="false">D156/D22</f>
        <v>0.343636181851942</v>
      </c>
      <c r="E154" s="80" t="n">
        <f aca="false">E156/E22</f>
        <v>0.322865358502623</v>
      </c>
      <c r="F154" s="80" t="n">
        <f aca="false">F156/F22</f>
        <v>0.303324662656479</v>
      </c>
      <c r="G154" s="80" t="n">
        <f aca="false">G156/G22</f>
        <v>0.303809082304765</v>
      </c>
      <c r="H154" s="94" t="n">
        <f aca="false">AVERAGE($C154:$G154)</f>
        <v>0.324580588515275</v>
      </c>
      <c r="I154" s="94" t="n">
        <f aca="false">AVERAGE($C154:$G154)</f>
        <v>0.324580588515275</v>
      </c>
      <c r="J154" s="94" t="n">
        <f aca="false">AVERAGE($C154:$G154)</f>
        <v>0.324580588515275</v>
      </c>
      <c r="K154" s="94" t="n">
        <f aca="false">AVERAGE($C154:$G154)</f>
        <v>0.324580588515275</v>
      </c>
      <c r="L154" s="94" t="n">
        <f aca="false">AVERAGE($C154:$G154)</f>
        <v>0.324580588515275</v>
      </c>
      <c r="M154" s="94" t="n">
        <f aca="false">AVERAGE($C154:$G154)</f>
        <v>0.324580588515275</v>
      </c>
      <c r="N154" s="94" t="n">
        <f aca="false">AVERAGE($C154:$G154)</f>
        <v>0.324580588515275</v>
      </c>
      <c r="O154" s="94" t="n">
        <f aca="false">AVERAGE($C154:$G154)</f>
        <v>0.324580588515275</v>
      </c>
      <c r="P154" s="94" t="n">
        <f aca="false">AVERAGE($C154:$G154)</f>
        <v>0.324580588515275</v>
      </c>
      <c r="Q154" s="94" t="n">
        <f aca="false">AVERAGE($C154:$G154)</f>
        <v>0.324580588515275</v>
      </c>
    </row>
    <row r="155" customFormat="false" ht="15" hidden="false" customHeight="false" outlineLevel="0" collapsed="false">
      <c r="A155" s="67" t="s">
        <v>254</v>
      </c>
      <c r="C155" s="70" t="n">
        <f aca="false">C156-C153</f>
        <v>1095</v>
      </c>
      <c r="D155" s="70" t="n">
        <f aca="false">D156-D153</f>
        <v>1000</v>
      </c>
      <c r="E155" s="70" t="n">
        <f aca="false">E156-E153</f>
        <v>194</v>
      </c>
      <c r="F155" s="70" t="n">
        <f aca="false">F156-F153</f>
        <v>5599</v>
      </c>
      <c r="G155" s="88" t="n">
        <f aca="false">G156-G153</f>
        <v>1605</v>
      </c>
      <c r="H155" s="70" t="n">
        <f aca="false">H154*H22-H153</f>
        <v>4076.94525444912</v>
      </c>
      <c r="I155" s="70" t="n">
        <f aca="false">I154*I22-I153</f>
        <v>2036.62310043382</v>
      </c>
      <c r="J155" s="70" t="n">
        <f aca="false">J154*J22-J153</f>
        <v>2153.35186847573</v>
      </c>
      <c r="K155" s="70" t="n">
        <f aca="false">K154*K22-K153</f>
        <v>2276.77092952556</v>
      </c>
      <c r="L155" s="70" t="n">
        <f aca="false">L154*L22-L153</f>
        <v>2407.26373679095</v>
      </c>
      <c r="M155" s="70" t="n">
        <f aca="false">M154*M22-M153</f>
        <v>2545.23572104651</v>
      </c>
      <c r="N155" s="70" t="n">
        <f aca="false">N154*N22-N153</f>
        <v>2691.11555027498</v>
      </c>
      <c r="O155" s="70" t="n">
        <f aca="false">O154*O22-O153</f>
        <v>2845.35646150452</v>
      </c>
      <c r="P155" s="70" t="n">
        <f aca="false">P154*P22-P153</f>
        <v>3008.43766898015</v>
      </c>
      <c r="Q155" s="70" t="n">
        <f aca="false">Q154*Q22-Q153</f>
        <v>3180.86585304432</v>
      </c>
    </row>
    <row r="156" customFormat="false" ht="15" hidden="false" customHeight="false" outlineLevel="0" collapsed="false">
      <c r="A156" s="67" t="s">
        <v>255</v>
      </c>
      <c r="B156" s="70" t="n">
        <f aca="false">B23</f>
        <v>21964</v>
      </c>
      <c r="C156" s="70" t="n">
        <f aca="false">C23</f>
        <v>23059</v>
      </c>
      <c r="D156" s="70" t="n">
        <f aca="false">D23</f>
        <v>24059</v>
      </c>
      <c r="E156" s="70" t="n">
        <f aca="false">E23</f>
        <v>24253</v>
      </c>
      <c r="F156" s="70" t="n">
        <f aca="false">F23</f>
        <v>29852</v>
      </c>
      <c r="G156" s="70" t="n">
        <f aca="false">G23</f>
        <v>31457</v>
      </c>
      <c r="H156" s="70" t="n">
        <f aca="false">H153+H155</f>
        <v>35533.9452544491</v>
      </c>
      <c r="I156" s="70" t="n">
        <f aca="false">I153+I155</f>
        <v>37570.5683548829</v>
      </c>
      <c r="J156" s="70" t="n">
        <f aca="false">J153+J155</f>
        <v>39723.9202233587</v>
      </c>
      <c r="K156" s="70" t="n">
        <f aca="false">K153+K155</f>
        <v>42000.6911528842</v>
      </c>
      <c r="L156" s="70" t="n">
        <f aca="false">L153+L155</f>
        <v>44407.9548896752</v>
      </c>
      <c r="M156" s="70" t="n">
        <f aca="false">M153+M155</f>
        <v>46953.1906107217</v>
      </c>
      <c r="N156" s="70" t="n">
        <f aca="false">N153+N155</f>
        <v>49644.3061609967</v>
      </c>
      <c r="O156" s="70" t="n">
        <f aca="false">O153+O155</f>
        <v>52489.6626225012</v>
      </c>
      <c r="P156" s="70" t="n">
        <f aca="false">P153+P155</f>
        <v>55498.1002914813</v>
      </c>
      <c r="Q156" s="70" t="n">
        <f aca="false">Q153+Q155</f>
        <v>58678.9661445257</v>
      </c>
    </row>
    <row r="157" customFormat="false" ht="15" hidden="false" customHeight="false" outlineLevel="0" collapsed="false">
      <c r="G157" s="0"/>
    </row>
    <row r="158" customFormat="false" ht="15" hidden="false" customHeight="false" outlineLevel="0" collapsed="false">
      <c r="G158" s="0"/>
    </row>
    <row r="159" customFormat="false" ht="15" hidden="false" customHeight="false" outlineLevel="0" collapsed="false">
      <c r="A159" s="67" t="s">
        <v>266</v>
      </c>
      <c r="G159" s="0"/>
    </row>
    <row r="160" customFormat="false" ht="15" hidden="false" customHeight="false" outlineLevel="0" collapsed="false">
      <c r="A160" s="67" t="s">
        <v>252</v>
      </c>
      <c r="C160" s="70" t="n">
        <f aca="false">B162</f>
        <v>1303</v>
      </c>
      <c r="D160" s="70" t="n">
        <f aca="false">C162</f>
        <v>1465</v>
      </c>
      <c r="E160" s="70" t="n">
        <f aca="false">D162</f>
        <v>1546</v>
      </c>
      <c r="F160" s="70" t="n">
        <f aca="false">E162</f>
        <v>1512</v>
      </c>
      <c r="G160" s="88" t="n">
        <f aca="false">F162</f>
        <v>1606</v>
      </c>
      <c r="H160" s="70" t="n">
        <f aca="false">G162</f>
        <v>1832</v>
      </c>
      <c r="I160" s="70" t="n">
        <f aca="false">H162</f>
        <v>1937.8</v>
      </c>
      <c r="J160" s="70" t="n">
        <f aca="false">I162</f>
        <v>2043.6</v>
      </c>
      <c r="K160" s="70" t="n">
        <f aca="false">J162</f>
        <v>2149.4</v>
      </c>
      <c r="L160" s="70" t="n">
        <f aca="false">K162</f>
        <v>2255.2</v>
      </c>
      <c r="M160" s="70" t="n">
        <f aca="false">L162</f>
        <v>2361</v>
      </c>
      <c r="N160" s="70" t="n">
        <f aca="false">M162</f>
        <v>2466.8</v>
      </c>
      <c r="O160" s="70" t="n">
        <f aca="false">N162</f>
        <v>2572.6</v>
      </c>
      <c r="P160" s="70" t="n">
        <f aca="false">O162</f>
        <v>2678.4</v>
      </c>
      <c r="Q160" s="70" t="n">
        <f aca="false">P162</f>
        <v>2784.2</v>
      </c>
    </row>
    <row r="161" customFormat="false" ht="15" hidden="false" customHeight="false" outlineLevel="0" collapsed="false">
      <c r="A161" s="67" t="s">
        <v>267</v>
      </c>
      <c r="C161" s="70" t="n">
        <f aca="false">C162-C160</f>
        <v>162</v>
      </c>
      <c r="D161" s="70" t="n">
        <f aca="false">D162-D160</f>
        <v>81</v>
      </c>
      <c r="E161" s="70" t="n">
        <f aca="false">E162-E160</f>
        <v>-34</v>
      </c>
      <c r="F161" s="70" t="n">
        <f aca="false">F162-F160</f>
        <v>94</v>
      </c>
      <c r="G161" s="88" t="n">
        <f aca="false">G162-G160</f>
        <v>226</v>
      </c>
      <c r="H161" s="70" t="n">
        <f aca="false">AVERAGE($C$161:$G$161)</f>
        <v>105.8</v>
      </c>
      <c r="I161" s="70" t="n">
        <f aca="false">AVERAGE($C$161:$G$161)</f>
        <v>105.8</v>
      </c>
      <c r="J161" s="70" t="n">
        <f aca="false">AVERAGE($C$161:$G$161)</f>
        <v>105.8</v>
      </c>
      <c r="K161" s="70" t="n">
        <f aca="false">AVERAGE($C$161:$G$161)</f>
        <v>105.8</v>
      </c>
      <c r="L161" s="70" t="n">
        <f aca="false">AVERAGE($C$161:$G$161)</f>
        <v>105.8</v>
      </c>
      <c r="M161" s="70" t="n">
        <f aca="false">AVERAGE($C$161:$G$161)</f>
        <v>105.8</v>
      </c>
      <c r="N161" s="70" t="n">
        <f aca="false">AVERAGE($C$161:$G$161)</f>
        <v>105.8</v>
      </c>
      <c r="O161" s="70" t="n">
        <f aca="false">AVERAGE($C$161:$G$161)</f>
        <v>105.8</v>
      </c>
      <c r="P161" s="70" t="n">
        <f aca="false">AVERAGE($C$161:$G$161)</f>
        <v>105.8</v>
      </c>
      <c r="Q161" s="70" t="n">
        <f aca="false">AVERAGE($C$161:$G$161)</f>
        <v>105.8</v>
      </c>
    </row>
    <row r="162" customFormat="false" ht="15" hidden="false" customHeight="false" outlineLevel="0" collapsed="false">
      <c r="A162" s="67" t="s">
        <v>255</v>
      </c>
      <c r="B162" s="70" t="n">
        <f aca="false">B33</f>
        <v>1303</v>
      </c>
      <c r="C162" s="70" t="n">
        <f aca="false">C33</f>
        <v>1465</v>
      </c>
      <c r="D162" s="70" t="n">
        <f aca="false">D33</f>
        <v>1546</v>
      </c>
      <c r="E162" s="70" t="n">
        <f aca="false">E33</f>
        <v>1512</v>
      </c>
      <c r="F162" s="70" t="n">
        <f aca="false">F33</f>
        <v>1606</v>
      </c>
      <c r="G162" s="70" t="n">
        <f aca="false">G33</f>
        <v>1832</v>
      </c>
      <c r="H162" s="70" t="n">
        <f aca="false">H160+H161</f>
        <v>1937.8</v>
      </c>
      <c r="I162" s="70" t="n">
        <f aca="false">I160+I161</f>
        <v>2043.6</v>
      </c>
      <c r="J162" s="70" t="n">
        <f aca="false">J160+J161</f>
        <v>2149.4</v>
      </c>
      <c r="K162" s="70" t="n">
        <f aca="false">K160+K161</f>
        <v>2255.2</v>
      </c>
      <c r="L162" s="70" t="n">
        <f aca="false">L160+L161</f>
        <v>2361</v>
      </c>
      <c r="M162" s="70" t="n">
        <f aca="false">M160+M161</f>
        <v>2466.8</v>
      </c>
      <c r="N162" s="70" t="n">
        <f aca="false">N160+N161</f>
        <v>2572.6</v>
      </c>
      <c r="O162" s="70" t="n">
        <f aca="false">O160+O161</f>
        <v>2678.4</v>
      </c>
      <c r="P162" s="70" t="n">
        <f aca="false">P160+P161</f>
        <v>2784.2</v>
      </c>
      <c r="Q162" s="70" t="n">
        <f aca="false">Q160+Q161</f>
        <v>2890</v>
      </c>
    </row>
    <row r="163" customFormat="false" ht="15" hidden="false" customHeight="false" outlineLevel="0" collapsed="false">
      <c r="G163" s="0"/>
    </row>
    <row r="164" customFormat="false" ht="15" hidden="false" customHeight="false" outlineLevel="0" collapsed="false">
      <c r="G164" s="0"/>
    </row>
    <row r="165" customFormat="false" ht="15" hidden="false" customHeight="false" outlineLevel="0" collapsed="false">
      <c r="A165" s="67" t="s">
        <v>198</v>
      </c>
      <c r="G165" s="0"/>
    </row>
    <row r="166" customFormat="false" ht="15" hidden="false" customHeight="false" outlineLevel="0" collapsed="false">
      <c r="A166" s="67" t="s">
        <v>252</v>
      </c>
      <c r="C166" s="70" t="n">
        <f aca="false">B169</f>
        <v>670</v>
      </c>
      <c r="D166" s="70" t="n">
        <f aca="false">C169</f>
        <v>665</v>
      </c>
      <c r="E166" s="70" t="n">
        <f aca="false">D169</f>
        <v>743</v>
      </c>
      <c r="F166" s="70" t="n">
        <f aca="false">E169</f>
        <v>755</v>
      </c>
      <c r="G166" s="88" t="n">
        <f aca="false">F169</f>
        <v>774</v>
      </c>
      <c r="H166" s="70" t="n">
        <f aca="false">G169</f>
        <v>775</v>
      </c>
      <c r="I166" s="70" t="n">
        <f aca="false">H169</f>
        <v>815.37276523224</v>
      </c>
      <c r="J166" s="70" t="n">
        <f aca="false">I169</f>
        <v>848.074191690754</v>
      </c>
      <c r="K166" s="70" t="n">
        <f aca="false">J169</f>
        <v>882.45722060824</v>
      </c>
      <c r="L166" s="70" t="n">
        <f aca="false">K169</f>
        <v>918.621998812078</v>
      </c>
      <c r="M166" s="70" t="n">
        <f aca="false">L169</f>
        <v>956.67520423646</v>
      </c>
      <c r="N166" s="70" t="n">
        <f aca="false">M169</f>
        <v>996.730503898427</v>
      </c>
      <c r="O166" s="70" t="n">
        <f aca="false">N169</f>
        <v>1038.9090460484</v>
      </c>
      <c r="P166" s="70" t="n">
        <f aca="false">O169</f>
        <v>1083.33998917753</v>
      </c>
      <c r="Q166" s="70" t="n">
        <f aca="false">P169</f>
        <v>1130.16107078295</v>
      </c>
    </row>
    <row r="167" customFormat="false" ht="15" hidden="false" customHeight="false" outlineLevel="0" collapsed="false">
      <c r="A167" s="67" t="s">
        <v>268</v>
      </c>
      <c r="C167" s="80" t="n">
        <f aca="false">C169/('Income Statement'!D10+'Income Statement'!D11+'Income Statement'!D13+'Income Statement'!D14)</f>
        <v>0.0677396353264745</v>
      </c>
      <c r="D167" s="80" t="n">
        <f aca="false">D169/('Income Statement'!E10+'Income Statement'!E11+'Income Statement'!E13+'Income Statement'!E14)</f>
        <v>0.0673556341220198</v>
      </c>
      <c r="E167" s="80" t="n">
        <f aca="false">E169/('Income Statement'!F10+'Income Statement'!F11+'Income Statement'!F13+'Income Statement'!F14)</f>
        <v>0.0769544388951177</v>
      </c>
      <c r="F167" s="80" t="n">
        <f aca="false">F169/('Income Statement'!G10+'Income Statement'!G11+'Income Statement'!G13+'Income Statement'!G14)</f>
        <v>0.0729431721798134</v>
      </c>
      <c r="G167" s="80" t="n">
        <f aca="false">G169/('Income Statement'!H10+'Income Statement'!H11+'Income Statement'!H13+'Income Statement'!H14)</f>
        <v>0.0688460513458293</v>
      </c>
      <c r="H167" s="94" t="n">
        <f aca="false">AVERAGE($C167:$G167)</f>
        <v>0.0707677863738509</v>
      </c>
      <c r="I167" s="94" t="n">
        <f aca="false">AVERAGE($C167:$G167)</f>
        <v>0.0707677863738509</v>
      </c>
      <c r="J167" s="94" t="n">
        <f aca="false">AVERAGE($C167:$G167)</f>
        <v>0.0707677863738509</v>
      </c>
      <c r="K167" s="94" t="n">
        <f aca="false">AVERAGE($C167:$G167)</f>
        <v>0.0707677863738509</v>
      </c>
      <c r="L167" s="94" t="n">
        <f aca="false">AVERAGE($C167:$G167)</f>
        <v>0.0707677863738509</v>
      </c>
      <c r="M167" s="94" t="n">
        <f aca="false">AVERAGE($C167:$G167)</f>
        <v>0.0707677863738509</v>
      </c>
      <c r="N167" s="94" t="n">
        <f aca="false">AVERAGE($C167:$G167)</f>
        <v>0.0707677863738509</v>
      </c>
      <c r="O167" s="94" t="n">
        <f aca="false">AVERAGE($C167:$G167)</f>
        <v>0.0707677863738509</v>
      </c>
      <c r="P167" s="94" t="n">
        <f aca="false">AVERAGE($C167:$G167)</f>
        <v>0.0707677863738509</v>
      </c>
      <c r="Q167" s="94" t="n">
        <f aca="false">AVERAGE($C167:$G167)</f>
        <v>0.0707677863738509</v>
      </c>
    </row>
    <row r="168" customFormat="false" ht="15" hidden="false" customHeight="false" outlineLevel="0" collapsed="false">
      <c r="A168" s="67" t="s">
        <v>254</v>
      </c>
      <c r="C168" s="70" t="n">
        <f aca="false">C169-C166</f>
        <v>-5</v>
      </c>
      <c r="D168" s="70" t="n">
        <f aca="false">D169-D166</f>
        <v>78</v>
      </c>
      <c r="E168" s="70" t="n">
        <f aca="false">E169-E166</f>
        <v>12</v>
      </c>
      <c r="F168" s="70" t="n">
        <f aca="false">F169-F166</f>
        <v>19</v>
      </c>
      <c r="G168" s="88" t="n">
        <f aca="false">G169-G166</f>
        <v>1</v>
      </c>
      <c r="H168" s="70" t="n">
        <f aca="false">('Income Statement'!I10+'Income Statement'!I11+'Income Statement'!I13+'Income Statement'!I14-'Income Statement'!H10-'Income Statement'!H11-'Income Statement'!H13-'Income Statement'!H14)*'Balance Sheet'!H167</f>
        <v>40.37276523224</v>
      </c>
      <c r="I168" s="70" t="n">
        <f aca="false">('Income Statement'!J10+'Income Statement'!J11+'Income Statement'!J13+'Income Statement'!J14-'Income Statement'!I10-'Income Statement'!I11-'Income Statement'!I13-'Income Statement'!I14)*'Balance Sheet'!I167</f>
        <v>32.7014264585134</v>
      </c>
      <c r="J168" s="70" t="n">
        <f aca="false">('Income Statement'!K10+'Income Statement'!K11+'Income Statement'!K13+'Income Statement'!K14-'Income Statement'!J10-'Income Statement'!J11-'Income Statement'!J13-'Income Statement'!J14)*'Balance Sheet'!J167</f>
        <v>34.383028917486</v>
      </c>
      <c r="K168" s="70" t="n">
        <f aca="false">('Income Statement'!L10+'Income Statement'!L11+'Income Statement'!L13+'Income Statement'!L14-'Income Statement'!K10-'Income Statement'!K11-'Income Statement'!K13-'Income Statement'!K14)*'Balance Sheet'!K167</f>
        <v>36.1647782038388</v>
      </c>
      <c r="L168" s="70" t="n">
        <f aca="false">('Income Statement'!M10+'Income Statement'!M11+'Income Statement'!M13+'Income Statement'!M14-'Income Statement'!L10-'Income Statement'!L11-'Income Statement'!L13-'Income Statement'!L14)*'Balance Sheet'!L167</f>
        <v>38.0532054243816</v>
      </c>
      <c r="M168" s="70" t="n">
        <f aca="false">('Income Statement'!N10+'Income Statement'!N11+'Income Statement'!N13+'Income Statement'!N14-'Income Statement'!M10-'Income Statement'!M11-'Income Statement'!M13-'Income Statement'!M14)*'Balance Sheet'!M167</f>
        <v>40.0552996619674</v>
      </c>
      <c r="N168" s="70" t="n">
        <f aca="false">('Income Statement'!O10+'Income Statement'!O11+'Income Statement'!O13+'Income Statement'!O14-'Income Statement'!N10-'Income Statement'!N11-'Income Statement'!N13-'Income Statement'!N14)*'Balance Sheet'!N167</f>
        <v>42.1785421499721</v>
      </c>
      <c r="O168" s="70" t="n">
        <f aca="false">('Income Statement'!P10+'Income Statement'!P11+'Income Statement'!P13+'Income Statement'!P14-'Income Statement'!O10-'Income Statement'!O11-'Income Statement'!O13-'Income Statement'!O14)*'Balance Sheet'!O167</f>
        <v>44.4309431291311</v>
      </c>
      <c r="P168" s="70" t="n">
        <f aca="false">('Income Statement'!Q10+'Income Statement'!Q11+'Income Statement'!Q13+'Income Statement'!Q14-'Income Statement'!P10-'Income Statement'!P11-'Income Statement'!P13-'Income Statement'!P14)*'Balance Sheet'!P167</f>
        <v>46.8210816054164</v>
      </c>
      <c r="Q168" s="70" t="n">
        <f aca="false">('Income Statement'!R10+'Income Statement'!R11+'Income Statement'!R13+'Income Statement'!R14-'Income Statement'!Q10-'Income Statement'!Q11-'Income Statement'!Q13-'Income Statement'!Q14)*'Balance Sheet'!Q167</f>
        <v>49.3581482459416</v>
      </c>
    </row>
    <row r="169" customFormat="false" ht="15" hidden="false" customHeight="false" outlineLevel="0" collapsed="false">
      <c r="A169" s="67" t="s">
        <v>255</v>
      </c>
      <c r="B169" s="70" t="n">
        <f aca="false">B34</f>
        <v>670</v>
      </c>
      <c r="C169" s="70" t="n">
        <f aca="false">C34</f>
        <v>665</v>
      </c>
      <c r="D169" s="70" t="n">
        <f aca="false">D34</f>
        <v>743</v>
      </c>
      <c r="E169" s="70" t="n">
        <f aca="false">E34</f>
        <v>755</v>
      </c>
      <c r="F169" s="70" t="n">
        <f aca="false">F34</f>
        <v>774</v>
      </c>
      <c r="G169" s="70" t="n">
        <f aca="false">G34</f>
        <v>775</v>
      </c>
      <c r="H169" s="70" t="n">
        <f aca="false">H166+H168</f>
        <v>815.37276523224</v>
      </c>
      <c r="I169" s="70" t="n">
        <f aca="false">I166+I168</f>
        <v>848.074191690754</v>
      </c>
      <c r="J169" s="70" t="n">
        <f aca="false">J166+J168</f>
        <v>882.45722060824</v>
      </c>
      <c r="K169" s="70" t="n">
        <f aca="false">K166+K168</f>
        <v>918.621998812078</v>
      </c>
      <c r="L169" s="70" t="n">
        <f aca="false">L166+L168</f>
        <v>956.67520423646</v>
      </c>
      <c r="M169" s="70" t="n">
        <f aca="false">M166+M168</f>
        <v>996.730503898427</v>
      </c>
      <c r="N169" s="70" t="n">
        <f aca="false">N166+N168</f>
        <v>1038.9090460484</v>
      </c>
      <c r="O169" s="70" t="n">
        <f aca="false">O166+O168</f>
        <v>1083.33998917753</v>
      </c>
      <c r="P169" s="70" t="n">
        <f aca="false">P166+P168</f>
        <v>1130.16107078295</v>
      </c>
      <c r="Q169" s="70" t="n">
        <f aca="false">Q166+Q168</f>
        <v>1179.51921902889</v>
      </c>
    </row>
  </sheetData>
  <conditionalFormatting sqref="B90:Q90">
    <cfRule type="cellIs" priority="2" operator="not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4"/>
  <sheetViews>
    <sheetView windowProtection="false" showFormulas="false" showGridLines="true" showRowColHeaders="true" showZeros="true" rightToLeft="false" tabSelected="false" showOutlineSymbols="true" defaultGridColor="true" view="normal" topLeftCell="B4" colorId="64" zoomScale="75" zoomScaleNormal="75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0" width="47.7732793522267"/>
    <col collapsed="false" hidden="false" max="6" min="2" style="0" width="10.2834008097166"/>
    <col collapsed="false" hidden="false" max="7" min="7" style="73" width="10.2834008097166"/>
    <col collapsed="false" hidden="false" max="8" min="8" style="0" width="15.2105263157895"/>
    <col collapsed="false" hidden="false" max="17" min="9" style="0" width="13.7125506072874"/>
    <col collapsed="false" hidden="false" max="1025" min="18" style="0" width="8.57085020242915"/>
  </cols>
  <sheetData>
    <row r="1" customFormat="false" ht="15" hidden="false" customHeight="false" outlineLevel="0" collapsed="false">
      <c r="A1" s="102" t="s">
        <v>174</v>
      </c>
      <c r="B1" s="102" t="n">
        <v>2012</v>
      </c>
      <c r="C1" s="102" t="n">
        <v>2013</v>
      </c>
      <c r="D1" s="102" t="n">
        <v>2014</v>
      </c>
      <c r="E1" s="102" t="n">
        <v>2015</v>
      </c>
      <c r="F1" s="102" t="n">
        <v>2016</v>
      </c>
      <c r="G1" s="103" t="n">
        <v>2017</v>
      </c>
      <c r="H1" s="102" t="n">
        <v>2018</v>
      </c>
      <c r="I1" s="102" t="n">
        <v>2019</v>
      </c>
      <c r="J1" s="102" t="n">
        <v>2020</v>
      </c>
      <c r="K1" s="102" t="n">
        <v>2021</v>
      </c>
      <c r="L1" s="102" t="n">
        <v>2022</v>
      </c>
      <c r="M1" s="102" t="n">
        <v>2023</v>
      </c>
      <c r="N1" s="102" t="n">
        <v>2024</v>
      </c>
      <c r="O1" s="102" t="n">
        <v>2025</v>
      </c>
      <c r="P1" s="102" t="n">
        <v>2026</v>
      </c>
      <c r="Q1" s="102" t="n">
        <v>2027</v>
      </c>
    </row>
    <row r="2" customFormat="false" ht="15" hidden="false" customHeight="false" outlineLevel="0" collapsed="false">
      <c r="A2" s="51" t="s">
        <v>49</v>
      </c>
      <c r="G2" s="0"/>
    </row>
    <row r="3" customFormat="false" ht="15" hidden="false" customHeight="false" outlineLevel="0" collapsed="false">
      <c r="A3" s="0" t="s">
        <v>175</v>
      </c>
      <c r="B3" s="54" t="n">
        <v>635</v>
      </c>
      <c r="C3" s="54" t="n">
        <f aca="false">'Cash Flow Statement'!C66</f>
        <v>659</v>
      </c>
      <c r="D3" s="54" t="n">
        <f aca="false">'Cash Flow Statement'!D66</f>
        <v>710</v>
      </c>
      <c r="E3" s="54" t="n">
        <f aca="false">'Cash Flow Statement'!E66</f>
        <v>1404</v>
      </c>
      <c r="F3" s="54" t="n">
        <f aca="false">'Cash Flow Statement'!F66</f>
        <v>1975</v>
      </c>
      <c r="G3" s="89" t="n">
        <f aca="false">'Cash Flow Statement'!G66</f>
        <v>2130</v>
      </c>
      <c r="H3" s="54" t="n">
        <f aca="false">$G$3</f>
        <v>2130</v>
      </c>
      <c r="I3" s="54" t="n">
        <f aca="false">$G$3</f>
        <v>2130</v>
      </c>
      <c r="J3" s="54" t="n">
        <f aca="false">$G$3</f>
        <v>2130</v>
      </c>
      <c r="K3" s="54" t="n">
        <f aca="false">$G$3</f>
        <v>2130</v>
      </c>
      <c r="L3" s="54" t="n">
        <f aca="false">$G$3</f>
        <v>2130</v>
      </c>
      <c r="M3" s="54" t="n">
        <f aca="false">$G$3</f>
        <v>2130</v>
      </c>
      <c r="N3" s="54" t="n">
        <f aca="false">$G$3</f>
        <v>2130</v>
      </c>
      <c r="O3" s="54" t="n">
        <f aca="false">$G$3</f>
        <v>2130</v>
      </c>
      <c r="P3" s="54" t="n">
        <f aca="false">$G$3</f>
        <v>2130</v>
      </c>
      <c r="Q3" s="54" t="n">
        <f aca="false">$G$3</f>
        <v>2130</v>
      </c>
    </row>
    <row r="4" customFormat="false" ht="15" hidden="false" customHeight="false" outlineLevel="0" collapsed="false">
      <c r="A4" s="0" t="s">
        <v>176</v>
      </c>
      <c r="B4" s="54"/>
      <c r="C4" s="54"/>
      <c r="D4" s="54"/>
      <c r="E4" s="54"/>
      <c r="F4" s="54"/>
      <c r="G4" s="89"/>
    </row>
    <row r="5" customFormat="false" ht="15" hidden="false" customHeight="false" outlineLevel="0" collapsed="false">
      <c r="A5" s="67" t="s">
        <v>269</v>
      </c>
      <c r="B5" s="54" t="n">
        <v>1402</v>
      </c>
      <c r="C5" s="54" t="n">
        <v>1475</v>
      </c>
      <c r="D5" s="54" t="n">
        <v>1522</v>
      </c>
      <c r="E5" s="54" t="n">
        <v>1455</v>
      </c>
      <c r="F5" s="54" t="n">
        <v>2289</v>
      </c>
      <c r="G5" s="54" t="n">
        <v>2616</v>
      </c>
      <c r="H5" s="70" t="n">
        <f aca="false">H92</f>
        <v>2667.71015065392</v>
      </c>
      <c r="I5" s="70" t="n">
        <f aca="false">I92</f>
        <v>2721.90070132237</v>
      </c>
      <c r="J5" s="70" t="n">
        <f aca="false">J92</f>
        <v>2778.75328630495</v>
      </c>
      <c r="K5" s="70" t="n">
        <f aca="false">K92</f>
        <v>2838.46478300999</v>
      </c>
      <c r="L5" s="70" t="n">
        <f aca="false">L92</f>
        <v>2901.24863397947</v>
      </c>
      <c r="M5" s="70" t="n">
        <f aca="false">M92</f>
        <v>2967.33628451596</v>
      </c>
      <c r="N5" s="70" t="n">
        <f aca="false">N92</f>
        <v>3036.9787460443</v>
      </c>
      <c r="O5" s="70" t="n">
        <f aca="false">O92</f>
        <v>3110.44829622994</v>
      </c>
      <c r="P5" s="70" t="n">
        <f aca="false">P92</f>
        <v>3188.04032784236</v>
      </c>
      <c r="Q5" s="70" t="n">
        <f aca="false">Q92</f>
        <v>3270.0753594041</v>
      </c>
    </row>
    <row r="6" customFormat="false" ht="15" hidden="false" customHeight="false" outlineLevel="0" collapsed="false">
      <c r="A6" s="67" t="s">
        <v>258</v>
      </c>
      <c r="B6" s="54" t="n">
        <v>247</v>
      </c>
      <c r="C6" s="54" t="n">
        <v>344</v>
      </c>
      <c r="D6" s="54" t="n">
        <v>425</v>
      </c>
      <c r="E6" s="54" t="n">
        <v>592</v>
      </c>
      <c r="F6" s="54" t="n">
        <v>1501</v>
      </c>
      <c r="G6" s="54" t="n">
        <v>1432</v>
      </c>
      <c r="H6" s="70"/>
      <c r="I6" s="70"/>
      <c r="J6" s="70"/>
      <c r="K6" s="70"/>
      <c r="L6" s="70"/>
      <c r="M6" s="70"/>
      <c r="N6" s="70"/>
      <c r="O6" s="70"/>
      <c r="P6" s="70"/>
      <c r="Q6" s="70"/>
    </row>
    <row r="7" customFormat="false" ht="15" hidden="false" customHeight="false" outlineLevel="0" collapsed="false">
      <c r="A7" s="0" t="s">
        <v>184</v>
      </c>
      <c r="B7" s="54" t="n">
        <v>1000</v>
      </c>
      <c r="C7" s="54" t="n">
        <v>959</v>
      </c>
      <c r="D7" s="54" t="n">
        <v>1039</v>
      </c>
      <c r="E7" s="54" t="n">
        <v>1061</v>
      </c>
      <c r="F7" s="54" t="n">
        <v>1462</v>
      </c>
      <c r="G7" s="89" t="n">
        <v>1438</v>
      </c>
      <c r="H7" s="70" t="n">
        <f aca="false">H106</f>
        <v>1468.7419288778</v>
      </c>
      <c r="I7" s="70" t="n">
        <f aca="false">I106</f>
        <v>1500.95846728333</v>
      </c>
      <c r="J7" s="70" t="n">
        <f aca="false">J106</f>
        <v>1534.75759766589</v>
      </c>
      <c r="K7" s="70" t="n">
        <f aca="false">K106</f>
        <v>1570.2563645749</v>
      </c>
      <c r="L7" s="70" t="n">
        <f aca="false">L106</f>
        <v>1607.58166061001</v>
      </c>
      <c r="M7" s="70" t="n">
        <f aca="false">M106</f>
        <v>1646.87108109712</v>
      </c>
      <c r="N7" s="70" t="n">
        <f aca="false">N106</f>
        <v>1688.27385351423</v>
      </c>
      <c r="O7" s="70" t="n">
        <f aca="false">O106</f>
        <v>1731.95184821989</v>
      </c>
      <c r="P7" s="70" t="n">
        <f aca="false">P106</f>
        <v>1778.08067761119</v>
      </c>
      <c r="Q7" s="70" t="n">
        <f aca="false">Q106</f>
        <v>1826.85089146412</v>
      </c>
    </row>
    <row r="8" customFormat="false" ht="15" hidden="false" customHeight="false" outlineLevel="0" collapsed="false">
      <c r="A8" s="0" t="s">
        <v>185</v>
      </c>
      <c r="B8" s="54" t="n">
        <v>1819</v>
      </c>
      <c r="C8" s="54" t="n">
        <v>1339</v>
      </c>
      <c r="D8" s="54" t="n">
        <v>930</v>
      </c>
      <c r="E8" s="54" t="n">
        <v>868</v>
      </c>
      <c r="F8" s="54" t="n">
        <v>689</v>
      </c>
      <c r="G8" s="89" t="n">
        <v>594</v>
      </c>
      <c r="H8" s="70" t="n">
        <f aca="false">H113</f>
        <v>618.349540633456</v>
      </c>
      <c r="I8" s="70" t="n">
        <f aca="false">I113</f>
        <v>643.884682977193</v>
      </c>
      <c r="J8" s="70" t="n">
        <f aca="false">J113</f>
        <v>670.692617187004</v>
      </c>
      <c r="K8" s="70" t="n">
        <f aca="false">K113</f>
        <v>698.867855966848</v>
      </c>
      <c r="L8" s="70" t="n">
        <f aca="false">L113</f>
        <v>728.512869717598</v>
      </c>
      <c r="M8" s="70" t="n">
        <f aca="false">M113</f>
        <v>759.738777226037</v>
      </c>
      <c r="N8" s="70" t="n">
        <f aca="false">N113</f>
        <v>792.666096762371</v>
      </c>
      <c r="O8" s="70" t="n">
        <f aca="false">O113</f>
        <v>827.425562881582</v>
      </c>
      <c r="P8" s="70" t="n">
        <f aca="false">P113</f>
        <v>864.159014688495</v>
      </c>
      <c r="Q8" s="70" t="n">
        <f aca="false">Q113</f>
        <v>903.020361831776</v>
      </c>
    </row>
    <row r="9" customFormat="false" ht="15" hidden="false" customHeight="false" outlineLevel="0" collapsed="false">
      <c r="A9" s="0" t="s">
        <v>187</v>
      </c>
      <c r="B9" s="54" t="n">
        <v>0</v>
      </c>
      <c r="C9" s="54" t="n">
        <v>0</v>
      </c>
      <c r="D9" s="54" t="n">
        <v>0</v>
      </c>
      <c r="E9" s="54" t="n">
        <v>0</v>
      </c>
      <c r="F9" s="54" t="n">
        <v>631</v>
      </c>
      <c r="G9" s="89" t="n">
        <v>595</v>
      </c>
      <c r="H9" s="70" t="n">
        <f aca="false">H120</f>
        <v>592.599854943058</v>
      </c>
      <c r="I9" s="70" t="n">
        <f aca="false">I120</f>
        <v>592.599854943058</v>
      </c>
      <c r="J9" s="70" t="n">
        <f aca="false">J120</f>
        <v>592.599854943058</v>
      </c>
      <c r="K9" s="70" t="n">
        <f aca="false">K120</f>
        <v>592.599854943058</v>
      </c>
      <c r="L9" s="70" t="n">
        <f aca="false">L120</f>
        <v>592.599854943058</v>
      </c>
      <c r="M9" s="70" t="n">
        <f aca="false">M120</f>
        <v>592.599854943058</v>
      </c>
      <c r="N9" s="70" t="n">
        <f aca="false">N120</f>
        <v>592.599854943058</v>
      </c>
      <c r="O9" s="70" t="n">
        <f aca="false">O120</f>
        <v>592.599854943058</v>
      </c>
      <c r="P9" s="70" t="n">
        <f aca="false">P120</f>
        <v>592.599854943058</v>
      </c>
      <c r="Q9" s="70" t="n">
        <f aca="false">Q120</f>
        <v>592.599854943058</v>
      </c>
    </row>
    <row r="10" customFormat="false" ht="15" hidden="false" customHeight="false" outlineLevel="0" collapsed="false">
      <c r="A10" s="0" t="s">
        <v>188</v>
      </c>
      <c r="B10" s="54" t="n">
        <v>657</v>
      </c>
      <c r="C10" s="54" t="n">
        <v>278</v>
      </c>
      <c r="D10" s="54" t="n">
        <v>665</v>
      </c>
      <c r="E10" s="54" t="n">
        <v>495</v>
      </c>
      <c r="F10" s="54" t="n">
        <v>364</v>
      </c>
      <c r="G10" s="89" t="n">
        <v>452</v>
      </c>
      <c r="H10" s="70" t="n">
        <f aca="false">H127</f>
        <v>473.877944669088</v>
      </c>
      <c r="I10" s="70" t="n">
        <f aca="false">I127</f>
        <v>494.177297696831</v>
      </c>
      <c r="J10" s="70" t="n">
        <f aca="false">J127</f>
        <v>515.520502496921</v>
      </c>
      <c r="K10" s="70" t="n">
        <f aca="false">K127</f>
        <v>537.969725036527</v>
      </c>
      <c r="L10" s="70" t="n">
        <f aca="false">L127</f>
        <v>561.591185455898</v>
      </c>
      <c r="M10" s="70" t="n">
        <f aca="false">M127</f>
        <v>586.455442356185</v>
      </c>
      <c r="N10" s="70" t="n">
        <f aca="false">N127</f>
        <v>612.637698301014</v>
      </c>
      <c r="O10" s="70" t="n">
        <f aca="false">O127</f>
        <v>640.218128196878</v>
      </c>
      <c r="P10" s="70" t="n">
        <f aca="false">P127</f>
        <v>669.282232353156</v>
      </c>
      <c r="Q10" s="70" t="n">
        <f aca="false">Q127</f>
        <v>699.921216169692</v>
      </c>
    </row>
    <row r="11" customFormat="false" ht="15" hidden="false" customHeight="false" outlineLevel="0" collapsed="false">
      <c r="A11" s="0" t="s">
        <v>263</v>
      </c>
      <c r="B11" s="54" t="n">
        <v>402</v>
      </c>
      <c r="C11" s="54" t="n">
        <v>560</v>
      </c>
      <c r="D11" s="54" t="n">
        <v>573</v>
      </c>
      <c r="E11" s="54" t="n">
        <v>651</v>
      </c>
      <c r="F11" s="54" t="n">
        <v>811</v>
      </c>
      <c r="G11" s="54" t="n">
        <v>815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customFormat="false" ht="13.8" hidden="false" customHeight="false" outlineLevel="0" collapsed="false">
      <c r="A12" s="99" t="s">
        <v>192</v>
      </c>
      <c r="B12" s="100" t="n">
        <f aca="false">SUM(B3:B11)</f>
        <v>6162</v>
      </c>
      <c r="C12" s="100" t="n">
        <f aca="false">SUM(C3:C11)</f>
        <v>5614</v>
      </c>
      <c r="D12" s="100" t="n">
        <f aca="false">SUM(D3:D11)</f>
        <v>5864</v>
      </c>
      <c r="E12" s="100" t="n">
        <f aca="false">SUM(E3:E11)</f>
        <v>6526</v>
      </c>
      <c r="F12" s="100" t="n">
        <f aca="false">SUM(F3:F11)</f>
        <v>9722</v>
      </c>
      <c r="G12" s="100" t="n">
        <f aca="false">SUM(G3:G11)</f>
        <v>10072</v>
      </c>
      <c r="H12" s="100" t="n">
        <f aca="false">SUM(H3:H11)</f>
        <v>7951.27941977732</v>
      </c>
      <c r="I12" s="100" t="n">
        <f aca="false">SUM(I3:I11)</f>
        <v>8083.52100422278</v>
      </c>
      <c r="J12" s="100" t="n">
        <f aca="false">SUM(J3:J11)</f>
        <v>8222.32385859782</v>
      </c>
      <c r="K12" s="100" t="n">
        <f aca="false">SUM(K3:K11)</f>
        <v>8368.15858353132</v>
      </c>
      <c r="L12" s="100" t="n">
        <f aca="false">SUM(L3:L11)</f>
        <v>8521.53420470604</v>
      </c>
      <c r="M12" s="100" t="n">
        <f aca="false">SUM(M3:M11)</f>
        <v>8683.00144013835</v>
      </c>
      <c r="N12" s="100" t="n">
        <f aca="false">SUM(N3:N11)</f>
        <v>8853.15624956498</v>
      </c>
      <c r="O12" s="100" t="n">
        <f aca="false">SUM(O3:O11)</f>
        <v>9032.64369047135</v>
      </c>
      <c r="P12" s="100" t="n">
        <f aca="false">SUM(P3:P11)</f>
        <v>9222.16210743825</v>
      </c>
      <c r="Q12" s="100" t="n">
        <f aca="false">SUM(Q3:Q11)</f>
        <v>9422.46768381275</v>
      </c>
    </row>
    <row r="13" customFormat="false" ht="13.8" hidden="false" customHeight="false" outlineLevel="0" collapsed="false">
      <c r="A13" s="51" t="s">
        <v>166</v>
      </c>
      <c r="B13" s="54"/>
      <c r="C13" s="54"/>
      <c r="D13" s="112"/>
      <c r="E13" s="113"/>
      <c r="F13" s="54"/>
      <c r="G13" s="89"/>
    </row>
    <row r="14" customFormat="false" ht="13.8" hidden="false" customHeight="false" outlineLevel="0" collapsed="false">
      <c r="A14" s="0" t="s">
        <v>167</v>
      </c>
      <c r="B14" s="54" t="n">
        <v>63251</v>
      </c>
      <c r="C14" s="54" t="n">
        <v>66021</v>
      </c>
      <c r="D14" s="54" t="n">
        <v>70013</v>
      </c>
      <c r="E14" s="54" t="n">
        <v>74118</v>
      </c>
      <c r="F14" s="54" t="n">
        <f aca="false">E14*1.04</f>
        <v>77082.72</v>
      </c>
      <c r="G14" s="54" t="n">
        <f aca="false">F14*1.06</f>
        <v>81707.6832</v>
      </c>
      <c r="H14" s="70" t="n">
        <f aca="false">G14*(1+Inputs!M37)</f>
        <v>86390.7476302637</v>
      </c>
      <c r="I14" s="70" t="n">
        <f aca="false">H14*(1+Inputs!N37)</f>
        <v>91342.2212431047</v>
      </c>
      <c r="J14" s="70" t="n">
        <f aca="false">I14*(1+Inputs!O37)</f>
        <v>96577.4878732674</v>
      </c>
      <c r="K14" s="70" t="n">
        <f aca="false">J14*(1+Inputs!P37)</f>
        <v>102112.813077832</v>
      </c>
      <c r="L14" s="70" t="n">
        <f aca="false">K14*(1+Inputs!Q37)</f>
        <v>107965.394672006</v>
      </c>
      <c r="M14" s="70" t="n">
        <f aca="false">L14*(1+Inputs!R37)</f>
        <v>114153.416161372</v>
      </c>
      <c r="N14" s="70" t="n">
        <f aca="false">M14*(1+Inputs!S37)</f>
        <v>120696.103236587</v>
      </c>
      <c r="O14" s="70" t="n">
        <f aca="false">N14*(1+Inputs!T37)</f>
        <v>127613.78350608</v>
      </c>
      <c r="P14" s="70" t="n">
        <f aca="false">O14*(1+Inputs!U37)</f>
        <v>134927.949652315</v>
      </c>
      <c r="Q14" s="70" t="n">
        <f aca="false">P14*(1+Inputs!V37)</f>
        <v>142661.32620784</v>
      </c>
    </row>
    <row r="15" customFormat="false" ht="13.8" hidden="false" customHeight="false" outlineLevel="0" collapsed="false">
      <c r="A15" s="63" t="s">
        <v>168</v>
      </c>
      <c r="B15" s="54" t="n">
        <v>21964</v>
      </c>
      <c r="C15" s="54" t="n">
        <v>23059</v>
      </c>
      <c r="D15" s="54" t="n">
        <v>24059</v>
      </c>
      <c r="E15" s="54" t="n">
        <f aca="false">0.34*E14</f>
        <v>25200.12</v>
      </c>
      <c r="F15" s="54" t="n">
        <f aca="false">0.32*F14</f>
        <v>24666.4704</v>
      </c>
      <c r="G15" s="54" t="n">
        <f aca="false">0.32*G14</f>
        <v>26146.458624</v>
      </c>
      <c r="H15" s="70" t="n">
        <f aca="false">H141</f>
        <v>28904.6826748936</v>
      </c>
      <c r="I15" s="70" t="n">
        <f aca="false">I141</f>
        <v>30561.3505181308</v>
      </c>
      <c r="J15" s="70" t="n">
        <f aca="false">J141</f>
        <v>32312.9700470062</v>
      </c>
      <c r="K15" s="70" t="n">
        <f aca="false">K141</f>
        <v>34164.9834040966</v>
      </c>
      <c r="L15" s="70" t="n">
        <f aca="false">L141</f>
        <v>36123.1446476193</v>
      </c>
      <c r="M15" s="70" t="n">
        <f aca="false">M141</f>
        <v>38193.5376288333</v>
      </c>
      <c r="N15" s="70" t="n">
        <f aca="false">N141</f>
        <v>40382.5948940811</v>
      </c>
      <c r="O15" s="70" t="n">
        <f aca="false">O141</f>
        <v>42697.117670199</v>
      </c>
      <c r="P15" s="70" t="n">
        <f aca="false">P141</f>
        <v>45144.2969953875</v>
      </c>
      <c r="Q15" s="70" t="n">
        <f aca="false">Q141</f>
        <v>47731.7360611956</v>
      </c>
    </row>
    <row r="16" customFormat="false" ht="15" hidden="false" customHeight="false" outlineLevel="0" collapsed="false">
      <c r="A16" s="65" t="s">
        <v>169</v>
      </c>
      <c r="B16" s="97" t="n">
        <f aca="false">B14-B15</f>
        <v>41287</v>
      </c>
      <c r="C16" s="97" t="n">
        <f aca="false">C14-C15</f>
        <v>42962</v>
      </c>
      <c r="D16" s="97" t="n">
        <f aca="false">D14-D15</f>
        <v>45954</v>
      </c>
      <c r="E16" s="97" t="n">
        <f aca="false">E14-E15</f>
        <v>48917.88</v>
      </c>
      <c r="F16" s="97" t="n">
        <f aca="false">F14-F15</f>
        <v>52416.2496</v>
      </c>
      <c r="G16" s="98" t="n">
        <f aca="false">G14-G15</f>
        <v>55561.224576</v>
      </c>
      <c r="H16" s="97" t="n">
        <f aca="false">H14-H15</f>
        <v>57486.0649553701</v>
      </c>
      <c r="I16" s="97" t="n">
        <f aca="false">I14-I15</f>
        <v>60780.8707249739</v>
      </c>
      <c r="J16" s="97" t="n">
        <f aca="false">J14-J15</f>
        <v>64264.5178262612</v>
      </c>
      <c r="K16" s="97" t="n">
        <f aca="false">K14-K15</f>
        <v>67947.8296737352</v>
      </c>
      <c r="L16" s="97" t="n">
        <f aca="false">L14-L15</f>
        <v>71842.2500243869</v>
      </c>
      <c r="M16" s="97" t="n">
        <f aca="false">M14-M15</f>
        <v>75959.8785325382</v>
      </c>
      <c r="N16" s="97" t="n">
        <f aca="false">N14-N15</f>
        <v>80313.5083425055</v>
      </c>
      <c r="O16" s="97" t="n">
        <f aca="false">O14-O15</f>
        <v>84916.6658358815</v>
      </c>
      <c r="P16" s="97" t="n">
        <f aca="false">P14-P15</f>
        <v>89783.6526569275</v>
      </c>
      <c r="Q16" s="97" t="n">
        <f aca="false">Q14-Q15</f>
        <v>94929.5901466447</v>
      </c>
    </row>
    <row r="17" customFormat="false" ht="15" hidden="false" customHeight="false" outlineLevel="0" collapsed="false">
      <c r="A17" s="63" t="s">
        <v>170</v>
      </c>
      <c r="B17" s="54" t="n">
        <v>263</v>
      </c>
      <c r="C17" s="54" t="n">
        <v>240</v>
      </c>
      <c r="D17" s="54" t="n">
        <v>211</v>
      </c>
      <c r="E17" s="54" t="n">
        <v>233</v>
      </c>
      <c r="F17" s="54" t="n">
        <v>0</v>
      </c>
      <c r="G17" s="89" t="n">
        <v>0</v>
      </c>
    </row>
    <row r="18" customFormat="false" ht="15" hidden="false" customHeight="false" outlineLevel="0" collapsed="false">
      <c r="A18" s="0" t="s">
        <v>171</v>
      </c>
      <c r="B18" s="54" t="n">
        <v>851</v>
      </c>
      <c r="C18" s="54" t="n">
        <v>855</v>
      </c>
      <c r="D18" s="54" t="n">
        <v>911</v>
      </c>
      <c r="E18" s="54" t="n">
        <v>934</v>
      </c>
      <c r="F18" s="54" t="n">
        <v>905</v>
      </c>
      <c r="G18" s="89" t="n">
        <v>883</v>
      </c>
      <c r="H18" s="70" t="n">
        <f aca="false">G18</f>
        <v>883</v>
      </c>
      <c r="I18" s="70" t="n">
        <f aca="false">H18</f>
        <v>883</v>
      </c>
      <c r="J18" s="70" t="n">
        <f aca="false">I18</f>
        <v>883</v>
      </c>
      <c r="K18" s="70" t="n">
        <f aca="false">J18</f>
        <v>883</v>
      </c>
      <c r="L18" s="70" t="n">
        <f aca="false">K18</f>
        <v>883</v>
      </c>
      <c r="M18" s="70" t="n">
        <f aca="false">L18</f>
        <v>883</v>
      </c>
      <c r="N18" s="70" t="n">
        <f aca="false">M18</f>
        <v>883</v>
      </c>
      <c r="O18" s="70" t="n">
        <f aca="false">N18</f>
        <v>883</v>
      </c>
      <c r="P18" s="70" t="n">
        <f aca="false">O18</f>
        <v>883</v>
      </c>
      <c r="Q18" s="70" t="n">
        <f aca="false">P18</f>
        <v>883</v>
      </c>
    </row>
    <row r="19" customFormat="false" ht="15" hidden="false" customHeight="false" outlineLevel="0" collapsed="false">
      <c r="A19" s="0" t="s">
        <v>172</v>
      </c>
      <c r="B19" s="54" t="n">
        <v>5989</v>
      </c>
      <c r="C19" s="54" t="n">
        <v>7151</v>
      </c>
      <c r="D19" s="54" t="n">
        <v>7792</v>
      </c>
      <c r="E19" s="54" t="n">
        <f aca="false">D19*(1.06)</f>
        <v>8259.52</v>
      </c>
      <c r="F19" s="54" t="n">
        <v>8977</v>
      </c>
      <c r="G19" s="89" t="n">
        <v>6904</v>
      </c>
    </row>
    <row r="20" customFormat="false" ht="15" hidden="false" customHeight="false" outlineLevel="0" collapsed="false">
      <c r="A20" s="99" t="s">
        <v>173</v>
      </c>
      <c r="B20" s="100" t="n">
        <f aca="false">B16+B17+B18+B19</f>
        <v>48390</v>
      </c>
      <c r="C20" s="100" t="n">
        <f aca="false">C16+C17+C18+C19</f>
        <v>51208</v>
      </c>
      <c r="D20" s="100" t="n">
        <f aca="false">D16+D17+D18+D19</f>
        <v>54868</v>
      </c>
      <c r="E20" s="100" t="n">
        <f aca="false">E16+E17+E18+E19</f>
        <v>58344.4</v>
      </c>
      <c r="F20" s="100" t="n">
        <f aca="false">F16+F17+F18+F19</f>
        <v>62298.2496</v>
      </c>
      <c r="G20" s="101" t="n">
        <f aca="false">G16+G17+G18+G19</f>
        <v>63348.224576</v>
      </c>
      <c r="H20" s="100" t="n">
        <f aca="false">H16+H17+H18+H19</f>
        <v>58369.0649553701</v>
      </c>
      <c r="I20" s="100" t="n">
        <f aca="false">I16+I17+I18+I19</f>
        <v>61663.8707249739</v>
      </c>
      <c r="J20" s="100" t="n">
        <f aca="false">J16+J17+J18+J19</f>
        <v>65147.5178262612</v>
      </c>
      <c r="K20" s="100" t="n">
        <f aca="false">K16+K17+K18+K19</f>
        <v>68830.8296737352</v>
      </c>
      <c r="L20" s="100" t="n">
        <f aca="false">L16+L17+L18+L19</f>
        <v>72725.2500243869</v>
      </c>
      <c r="M20" s="100" t="n">
        <f aca="false">M16+M17+M18+M19</f>
        <v>76842.8785325382</v>
      </c>
      <c r="N20" s="100" t="n">
        <f aca="false">N16+N17+N18+N19</f>
        <v>81196.5083425055</v>
      </c>
      <c r="O20" s="100" t="n">
        <f aca="false">O16+O17+O18+O19</f>
        <v>85799.6658358815</v>
      </c>
      <c r="P20" s="100" t="n">
        <f aca="false">P16+P17+P18+P19</f>
        <v>90666.6526569275</v>
      </c>
      <c r="Q20" s="100" t="n">
        <f aca="false">Q16+Q17+Q18+Q19</f>
        <v>95812.5901466446</v>
      </c>
    </row>
    <row r="21" customFormat="false" ht="13.8" hidden="false" customHeight="false" outlineLevel="0" collapsed="false">
      <c r="A21" s="51" t="s">
        <v>193</v>
      </c>
      <c r="B21" s="54"/>
      <c r="C21" s="54"/>
      <c r="D21" s="54"/>
      <c r="E21" s="54"/>
      <c r="F21" s="54"/>
      <c r="G21" s="89"/>
    </row>
    <row r="22" customFormat="false" ht="15" hidden="false" customHeight="false" outlineLevel="0" collapsed="false">
      <c r="A22" s="0" t="s">
        <v>194</v>
      </c>
      <c r="B22" s="54"/>
      <c r="C22" s="54"/>
      <c r="D22" s="54"/>
      <c r="E22" s="54"/>
      <c r="F22" s="54" t="n">
        <v>6251</v>
      </c>
      <c r="G22" s="89" t="n">
        <v>6268</v>
      </c>
      <c r="H22" s="70" t="n">
        <f aca="false">G22</f>
        <v>6268</v>
      </c>
      <c r="I22" s="70" t="n">
        <f aca="false">H22</f>
        <v>6268</v>
      </c>
      <c r="J22" s="70" t="n">
        <f aca="false">I22</f>
        <v>6268</v>
      </c>
      <c r="K22" s="70" t="n">
        <f aca="false">J22</f>
        <v>6268</v>
      </c>
      <c r="L22" s="70" t="n">
        <f aca="false">K22</f>
        <v>6268</v>
      </c>
      <c r="M22" s="70" t="n">
        <f aca="false">L22</f>
        <v>6268</v>
      </c>
      <c r="N22" s="70" t="n">
        <f aca="false">M22</f>
        <v>6268</v>
      </c>
      <c r="O22" s="70" t="n">
        <f aca="false">N22</f>
        <v>6268</v>
      </c>
      <c r="P22" s="70" t="n">
        <f aca="false">O22</f>
        <v>6268</v>
      </c>
      <c r="Q22" s="70" t="n">
        <f aca="false">P22</f>
        <v>6268</v>
      </c>
    </row>
    <row r="23" customFormat="false" ht="15" hidden="false" customHeight="false" outlineLevel="0" collapsed="false">
      <c r="A23" s="0" t="s">
        <v>195</v>
      </c>
      <c r="B23" s="54"/>
      <c r="C23" s="54"/>
      <c r="D23" s="54"/>
      <c r="E23" s="54"/>
      <c r="F23" s="54" t="n">
        <v>1549</v>
      </c>
      <c r="G23" s="89" t="n">
        <v>1513</v>
      </c>
      <c r="H23" s="70" t="n">
        <f aca="false">G23</f>
        <v>1513</v>
      </c>
      <c r="I23" s="70" t="n">
        <f aca="false">H23</f>
        <v>1513</v>
      </c>
      <c r="J23" s="70" t="n">
        <f aca="false">I23</f>
        <v>1513</v>
      </c>
      <c r="K23" s="70" t="n">
        <f aca="false">J23</f>
        <v>1513</v>
      </c>
      <c r="L23" s="70" t="n">
        <f aca="false">K23</f>
        <v>1513</v>
      </c>
      <c r="M23" s="70" t="n">
        <f aca="false">L23</f>
        <v>1513</v>
      </c>
      <c r="N23" s="70" t="n">
        <f aca="false">M23</f>
        <v>1513</v>
      </c>
      <c r="O23" s="70" t="n">
        <f aca="false">N23</f>
        <v>1513</v>
      </c>
      <c r="P23" s="70" t="n">
        <f aca="false">O23</f>
        <v>1513</v>
      </c>
      <c r="Q23" s="70" t="n">
        <f aca="false">P23</f>
        <v>1513</v>
      </c>
    </row>
    <row r="24" customFormat="false" ht="15" hidden="false" customHeight="false" outlineLevel="0" collapsed="false">
      <c r="A24" s="0" t="s">
        <v>196</v>
      </c>
      <c r="B24" s="54"/>
      <c r="C24" s="54"/>
      <c r="D24" s="54"/>
      <c r="E24" s="54"/>
      <c r="F24" s="54" t="n">
        <v>970</v>
      </c>
      <c r="G24" s="89" t="n">
        <v>873</v>
      </c>
      <c r="H24" s="70" t="n">
        <f aca="false">AVERAGE($F$24:$G$24)</f>
        <v>921.5</v>
      </c>
      <c r="I24" s="70" t="n">
        <f aca="false">AVERAGE($F$24:$G$24)</f>
        <v>921.5</v>
      </c>
      <c r="J24" s="70" t="n">
        <f aca="false">AVERAGE($F$24:$G$24)</f>
        <v>921.5</v>
      </c>
      <c r="K24" s="70" t="n">
        <f aca="false">AVERAGE($F$24:$G$24)</f>
        <v>921.5</v>
      </c>
      <c r="L24" s="70" t="n">
        <f aca="false">AVERAGE($F$24:$G$24)</f>
        <v>921.5</v>
      </c>
      <c r="M24" s="70" t="n">
        <f aca="false">AVERAGE($F$24:$G$24)</f>
        <v>921.5</v>
      </c>
      <c r="N24" s="70" t="n">
        <f aca="false">AVERAGE($F$24:$G$24)</f>
        <v>921.5</v>
      </c>
      <c r="O24" s="70" t="n">
        <f aca="false">AVERAGE($F$24:$G$24)</f>
        <v>921.5</v>
      </c>
      <c r="P24" s="70" t="n">
        <f aca="false">AVERAGE($F$24:$G$24)</f>
        <v>921.5</v>
      </c>
      <c r="Q24" s="70" t="n">
        <f aca="false">AVERAGE($F$24:$G$24)</f>
        <v>921.5</v>
      </c>
    </row>
    <row r="25" customFormat="false" ht="15" hidden="false" customHeight="false" outlineLevel="0" collapsed="false">
      <c r="A25" s="0" t="s">
        <v>197</v>
      </c>
      <c r="B25" s="54" t="n">
        <v>1303</v>
      </c>
      <c r="C25" s="54" t="n">
        <v>1465</v>
      </c>
      <c r="D25" s="54" t="n">
        <v>1546</v>
      </c>
      <c r="E25" s="54" t="n">
        <v>1512</v>
      </c>
      <c r="F25" s="54" t="n">
        <v>1606</v>
      </c>
      <c r="G25" s="89" t="n">
        <v>1832</v>
      </c>
      <c r="H25" s="70" t="n">
        <f aca="false">H147</f>
        <v>1937.8</v>
      </c>
      <c r="I25" s="70" t="n">
        <f aca="false">I147</f>
        <v>2043.6</v>
      </c>
      <c r="J25" s="70" t="n">
        <f aca="false">J147</f>
        <v>2149.4</v>
      </c>
      <c r="K25" s="70" t="n">
        <f aca="false">K147</f>
        <v>2255.2</v>
      </c>
      <c r="L25" s="70" t="n">
        <f aca="false">L147</f>
        <v>2361</v>
      </c>
      <c r="M25" s="70" t="n">
        <f aca="false">M147</f>
        <v>2466.8</v>
      </c>
      <c r="N25" s="70" t="n">
        <f aca="false">N147</f>
        <v>2572.6</v>
      </c>
      <c r="O25" s="70" t="n">
        <f aca="false">O147</f>
        <v>2678.4</v>
      </c>
      <c r="P25" s="70" t="n">
        <f aca="false">P147</f>
        <v>2784.2</v>
      </c>
      <c r="Q25" s="70" t="n">
        <f aca="false">Q147</f>
        <v>2890</v>
      </c>
    </row>
    <row r="26" customFormat="false" ht="15" hidden="false" customHeight="false" outlineLevel="0" collapsed="false">
      <c r="A26" s="0" t="s">
        <v>198</v>
      </c>
      <c r="B26" s="54" t="n">
        <v>670</v>
      </c>
      <c r="C26" s="54" t="n">
        <v>665</v>
      </c>
      <c r="D26" s="54" t="n">
        <v>743</v>
      </c>
      <c r="E26" s="54" t="n">
        <v>755</v>
      </c>
      <c r="F26" s="54" t="n">
        <v>774</v>
      </c>
      <c r="G26" s="89" t="n">
        <v>775</v>
      </c>
      <c r="H26" s="70" t="n">
        <f aca="false">H154</f>
        <v>815.37276523224</v>
      </c>
      <c r="I26" s="70" t="n">
        <f aca="false">I154</f>
        <v>848.074191690754</v>
      </c>
      <c r="J26" s="70" t="n">
        <f aca="false">J154</f>
        <v>882.45722060824</v>
      </c>
      <c r="K26" s="70" t="n">
        <f aca="false">K154</f>
        <v>918.621998812078</v>
      </c>
      <c r="L26" s="70" t="n">
        <f aca="false">L154</f>
        <v>956.67520423646</v>
      </c>
      <c r="M26" s="70" t="n">
        <f aca="false">M154</f>
        <v>996.730503898427</v>
      </c>
      <c r="N26" s="70" t="n">
        <f aca="false">N154</f>
        <v>1038.9090460484</v>
      </c>
      <c r="O26" s="70" t="n">
        <f aca="false">O154</f>
        <v>1083.33998917753</v>
      </c>
      <c r="P26" s="70" t="n">
        <f aca="false">P154</f>
        <v>1130.16107078295</v>
      </c>
      <c r="Q26" s="70" t="n">
        <f aca="false">Q154</f>
        <v>1179.51921902889</v>
      </c>
    </row>
    <row r="27" customFormat="false" ht="15" hidden="false" customHeight="false" outlineLevel="0" collapsed="false">
      <c r="A27" s="0" t="s">
        <v>199</v>
      </c>
      <c r="B27" s="54" t="n">
        <v>216</v>
      </c>
      <c r="C27" s="54" t="n">
        <v>218</v>
      </c>
      <c r="D27" s="54" t="n">
        <v>203</v>
      </c>
      <c r="E27" s="54" t="n">
        <v>485</v>
      </c>
      <c r="F27" s="54" t="n">
        <v>270</v>
      </c>
      <c r="G27" s="89" t="n">
        <v>249</v>
      </c>
    </row>
    <row r="28" customFormat="false" ht="15" hidden="false" customHeight="false" outlineLevel="0" collapsed="false">
      <c r="A28" s="99" t="s">
        <v>200</v>
      </c>
      <c r="B28" s="100" t="n">
        <f aca="false">B22+B23+B24+B25+B26+B27</f>
        <v>2189</v>
      </c>
      <c r="C28" s="100" t="n">
        <f aca="false">C22+C23+C24+C25+C26+C27</f>
        <v>2348</v>
      </c>
      <c r="D28" s="100" t="n">
        <f aca="false">D22+D23+D24+D25+D26+D27</f>
        <v>2492</v>
      </c>
      <c r="E28" s="100" t="n">
        <f aca="false">E22+E23+E24+E25+E26+E27</f>
        <v>2752</v>
      </c>
      <c r="F28" s="100" t="n">
        <f aca="false">F22+F23+F24+F25+F26+F27</f>
        <v>11420</v>
      </c>
      <c r="G28" s="101" t="n">
        <f aca="false">G22+G23+G24+G25+G26+G27</f>
        <v>11510</v>
      </c>
      <c r="H28" s="100" t="n">
        <f aca="false">H22+H23+H24+H25+H26+H27</f>
        <v>11455.6727652322</v>
      </c>
      <c r="I28" s="100" t="n">
        <f aca="false">I22+I23+I24+I25+I26+I27</f>
        <v>11594.1741916908</v>
      </c>
      <c r="J28" s="100" t="n">
        <f aca="false">J22+J23+J24+J25+J26+J27</f>
        <v>11734.3572206082</v>
      </c>
      <c r="K28" s="100" t="n">
        <f aca="false">K22+K23+K24+K25+K26+K27</f>
        <v>11876.3219988121</v>
      </c>
      <c r="L28" s="100" t="n">
        <f aca="false">L22+L23+L24+L25+L26+L27</f>
        <v>12020.1752042365</v>
      </c>
      <c r="M28" s="100" t="n">
        <f aca="false">M22+M23+M24+M25+M26+M27</f>
        <v>12166.0305038984</v>
      </c>
      <c r="N28" s="100" t="n">
        <f aca="false">N22+N23+N24+N25+N26+N27</f>
        <v>12314.0090460484</v>
      </c>
      <c r="O28" s="100" t="n">
        <f aca="false">O22+O23+O24+O25+O26+O27</f>
        <v>12464.2399891775</v>
      </c>
      <c r="P28" s="100" t="n">
        <f aca="false">P22+P23+P24+P25+P26+P27</f>
        <v>12616.8610707829</v>
      </c>
      <c r="Q28" s="100" t="n">
        <f aca="false">Q22+Q23+Q24+Q25+Q26+Q27</f>
        <v>12772.0192190289</v>
      </c>
    </row>
    <row r="29" customFormat="false" ht="15" hidden="false" customHeight="false" outlineLevel="0" collapsed="false">
      <c r="A29" s="51" t="s">
        <v>201</v>
      </c>
      <c r="B29" s="54"/>
      <c r="C29" s="54"/>
      <c r="D29" s="54"/>
      <c r="E29" s="54"/>
      <c r="F29" s="54"/>
      <c r="G29" s="89"/>
    </row>
    <row r="30" customFormat="false" ht="15" hidden="false" customHeight="false" outlineLevel="0" collapsed="false">
      <c r="A30" s="0" t="s">
        <v>202</v>
      </c>
      <c r="B30" s="54" t="n">
        <v>1385</v>
      </c>
      <c r="C30" s="54" t="n">
        <v>1436</v>
      </c>
      <c r="D30" s="54" t="n">
        <v>1510</v>
      </c>
      <c r="E30" s="54" t="n">
        <v>1560</v>
      </c>
      <c r="F30" s="54" t="n">
        <v>1629</v>
      </c>
      <c r="G30" s="89" t="n">
        <v>825</v>
      </c>
    </row>
    <row r="31" customFormat="false" ht="15" hidden="false" customHeight="false" outlineLevel="0" collapsed="false">
      <c r="A31" s="0" t="s">
        <v>203</v>
      </c>
      <c r="B31" s="54" t="n">
        <v>0</v>
      </c>
      <c r="C31" s="54" t="n">
        <v>419</v>
      </c>
      <c r="D31" s="54" t="n">
        <v>0</v>
      </c>
      <c r="E31" s="54" t="n">
        <v>0</v>
      </c>
      <c r="F31" s="54" t="n">
        <v>0</v>
      </c>
      <c r="G31" s="89" t="n">
        <v>0</v>
      </c>
    </row>
    <row r="32" customFormat="false" ht="15" hidden="false" customHeight="false" outlineLevel="0" collapsed="false">
      <c r="A32" s="0" t="s">
        <v>204</v>
      </c>
      <c r="B32" s="54" t="n">
        <v>133</v>
      </c>
      <c r="C32" s="54" t="n">
        <v>139</v>
      </c>
      <c r="D32" s="54" t="n">
        <v>0</v>
      </c>
      <c r="E32" s="54" t="n">
        <v>0</v>
      </c>
      <c r="F32" s="54" t="n">
        <v>0</v>
      </c>
      <c r="G32" s="89" t="n">
        <v>0</v>
      </c>
    </row>
    <row r="33" customFormat="false" ht="15" hidden="false" customHeight="false" outlineLevel="0" collapsed="false">
      <c r="A33" s="0" t="s">
        <v>205</v>
      </c>
      <c r="B33" s="54" t="n">
        <v>309</v>
      </c>
      <c r="C33" s="54" t="n">
        <v>269</v>
      </c>
      <c r="D33" s="54" t="n">
        <v>243</v>
      </c>
      <c r="E33" s="54" t="n">
        <v>227</v>
      </c>
      <c r="F33" s="54" t="n">
        <v>223</v>
      </c>
      <c r="G33" s="89" t="n">
        <v>206</v>
      </c>
    </row>
    <row r="34" customFormat="false" ht="15" hidden="false" customHeight="false" outlineLevel="0" collapsed="false">
      <c r="A34" s="0" t="s">
        <v>206</v>
      </c>
      <c r="B34" s="54" t="n">
        <v>4032</v>
      </c>
      <c r="C34" s="54" t="n">
        <v>2495</v>
      </c>
      <c r="D34" s="54" t="n">
        <v>4334</v>
      </c>
      <c r="E34" s="54" t="n">
        <v>4989</v>
      </c>
      <c r="F34" s="54" t="n">
        <v>6851</v>
      </c>
      <c r="G34" s="89" t="n">
        <v>6943</v>
      </c>
    </row>
    <row r="35" customFormat="false" ht="15" hidden="false" customHeight="false" outlineLevel="0" collapsed="false">
      <c r="A35" s="0" t="s">
        <v>207</v>
      </c>
      <c r="B35" s="54" t="n">
        <v>0</v>
      </c>
      <c r="C35" s="54" t="n">
        <v>0</v>
      </c>
      <c r="D35" s="54" t="n">
        <v>0</v>
      </c>
      <c r="E35" s="54" t="n">
        <v>413</v>
      </c>
      <c r="F35" s="54" t="n">
        <v>0</v>
      </c>
      <c r="G35" s="89" t="n">
        <v>0</v>
      </c>
    </row>
    <row r="36" customFormat="false" ht="15" hidden="false" customHeight="false" outlineLevel="0" collapsed="false">
      <c r="A36" s="0" t="s">
        <v>208</v>
      </c>
      <c r="B36" s="54" t="n">
        <v>549</v>
      </c>
      <c r="C36" s="54" t="n">
        <v>618</v>
      </c>
      <c r="D36" s="54" t="n">
        <v>922</v>
      </c>
      <c r="E36" s="54" t="n">
        <v>737</v>
      </c>
      <c r="F36" s="54" t="n">
        <v>1406</v>
      </c>
      <c r="G36" s="89" t="n">
        <v>1577</v>
      </c>
    </row>
    <row r="37" customFormat="false" ht="15" hidden="false" customHeight="false" outlineLevel="0" collapsed="false">
      <c r="A37" s="99" t="s">
        <v>209</v>
      </c>
      <c r="B37" s="100" t="n">
        <f aca="false">B30+B31+B32+B33+B34+B35+B36</f>
        <v>6408</v>
      </c>
      <c r="C37" s="100" t="n">
        <f aca="false">C30+C31+C32+C33+C34+C35+C36</f>
        <v>5376</v>
      </c>
      <c r="D37" s="100" t="n">
        <f aca="false">D30+D31+D32+D33+D34+D35+D36</f>
        <v>7009</v>
      </c>
      <c r="E37" s="100" t="n">
        <f aca="false">E30+E31+E32+E33+E34+E35+E36</f>
        <v>7926</v>
      </c>
      <c r="F37" s="100" t="n">
        <f aca="false">F30+F31+F32+F33+F34+F35+F36</f>
        <v>10109</v>
      </c>
      <c r="G37" s="101" t="n">
        <f aca="false">G30+G31+G32+G33+G34+G35+G36</f>
        <v>9551</v>
      </c>
      <c r="H37" s="100" t="n">
        <f aca="false">H30+H31+H32+H33+H34+H35+H36</f>
        <v>0</v>
      </c>
      <c r="I37" s="100" t="n">
        <f aca="false">I30+I31+I32+I33+I34+I35+I36</f>
        <v>0</v>
      </c>
      <c r="J37" s="100" t="n">
        <f aca="false">J30+J31+J32+J33+J34+J35+J36</f>
        <v>0</v>
      </c>
      <c r="K37" s="100" t="n">
        <f aca="false">K30+K31+K32+K33+K34+K35+K36</f>
        <v>0</v>
      </c>
      <c r="L37" s="100" t="n">
        <f aca="false">L30+L31+L32+L33+L34+L35+L36</f>
        <v>0</v>
      </c>
      <c r="M37" s="100" t="n">
        <f aca="false">M30+M31+M32+M33+M34+M35+M36</f>
        <v>0</v>
      </c>
      <c r="N37" s="100" t="n">
        <f aca="false">N30+N31+N32+N33+N34+N35+N36</f>
        <v>0</v>
      </c>
      <c r="O37" s="100" t="n">
        <f aca="false">O30+O31+O32+O33+O34+O35+O36</f>
        <v>0</v>
      </c>
      <c r="P37" s="100" t="n">
        <f aca="false">P30+P31+P32+P33+P34+P35+P36</f>
        <v>0</v>
      </c>
      <c r="Q37" s="100" t="n">
        <f aca="false">Q30+Q31+Q32+Q33+Q34+Q35+Q36</f>
        <v>0</v>
      </c>
    </row>
    <row r="38" customFormat="false" ht="15.75" hidden="false" customHeight="false" outlineLevel="0" collapsed="false">
      <c r="A38" s="104" t="s">
        <v>210</v>
      </c>
      <c r="B38" s="105" t="n">
        <f aca="false">B12+B20+B28+B37</f>
        <v>63149</v>
      </c>
      <c r="C38" s="105" t="n">
        <f aca="false">C12+C20+C28+C37</f>
        <v>64546</v>
      </c>
      <c r="D38" s="105" t="n">
        <f aca="false">D12+D20+D28+D37</f>
        <v>70233</v>
      </c>
      <c r="E38" s="105" t="n">
        <f aca="false">E12+E20+E28+E37</f>
        <v>75548.4</v>
      </c>
      <c r="F38" s="105" t="n">
        <f aca="false">F12+F20+F28+F37</f>
        <v>93549.2496</v>
      </c>
      <c r="G38" s="106" t="n">
        <f aca="false">G12+G20+G28+G37</f>
        <v>94481.224576</v>
      </c>
      <c r="H38" s="105" t="n">
        <f aca="false">H12+H20+H28+H37</f>
        <v>77776.0171403796</v>
      </c>
      <c r="I38" s="105" t="n">
        <f aca="false">I12+I20+I28+I37</f>
        <v>81341.5659208874</v>
      </c>
      <c r="J38" s="105" t="n">
        <f aca="false">J12+J20+J28+J37</f>
        <v>85104.1989054673</v>
      </c>
      <c r="K38" s="105" t="n">
        <f aca="false">K12+K20+K28+K37</f>
        <v>89075.3102560786</v>
      </c>
      <c r="L38" s="105" t="n">
        <f aca="false">L12+L20+L28+L37</f>
        <v>93266.9594333294</v>
      </c>
      <c r="M38" s="105" t="n">
        <f aca="false">M12+M20+M28+M37</f>
        <v>97691.910476575</v>
      </c>
      <c r="N38" s="105" t="n">
        <f aca="false">N12+N20+N28+N37</f>
        <v>102363.673638119</v>
      </c>
      <c r="O38" s="105" t="n">
        <f aca="false">O12+O20+O28+O37</f>
        <v>107296.54951553</v>
      </c>
      <c r="P38" s="105" t="n">
        <f aca="false">P12+P20+P28+P37</f>
        <v>112505.675835149</v>
      </c>
      <c r="Q38" s="105" t="n">
        <f aca="false">Q12+Q20+Q28+Q37</f>
        <v>118007.077049486</v>
      </c>
    </row>
    <row r="39" customFormat="false" ht="15" hidden="false" customHeight="false" outlineLevel="0" collapsed="false">
      <c r="G39" s="0"/>
    </row>
    <row r="40" customFormat="false" ht="15" hidden="false" customHeight="false" outlineLevel="0" collapsed="false">
      <c r="G40" s="0"/>
    </row>
    <row r="41" customFormat="false" ht="15" hidden="false" customHeight="false" outlineLevel="0" collapsed="false">
      <c r="G41" s="0"/>
    </row>
    <row r="42" customFormat="false" ht="15" hidden="false" customHeight="false" outlineLevel="0" collapsed="false">
      <c r="A42" s="107" t="s">
        <v>211</v>
      </c>
      <c r="B42" s="107" t="n">
        <v>2012</v>
      </c>
      <c r="C42" s="107" t="n">
        <v>2013</v>
      </c>
      <c r="D42" s="107" t="n">
        <v>2014</v>
      </c>
      <c r="E42" s="107" t="n">
        <v>2015</v>
      </c>
      <c r="F42" s="107" t="n">
        <v>2016</v>
      </c>
      <c r="G42" s="108" t="n">
        <v>2017</v>
      </c>
      <c r="H42" s="107" t="n">
        <v>2018</v>
      </c>
      <c r="I42" s="107" t="n">
        <v>2019</v>
      </c>
      <c r="J42" s="107" t="n">
        <v>2020</v>
      </c>
      <c r="K42" s="107" t="n">
        <v>2021</v>
      </c>
      <c r="L42" s="107" t="n">
        <v>2022</v>
      </c>
      <c r="M42" s="107" t="n">
        <v>2023</v>
      </c>
      <c r="N42" s="107" t="n">
        <v>2024</v>
      </c>
      <c r="O42" s="107" t="n">
        <v>2025</v>
      </c>
      <c r="P42" s="107" t="n">
        <v>2026</v>
      </c>
      <c r="Q42" s="107" t="n">
        <v>2027</v>
      </c>
    </row>
    <row r="43" customFormat="false" ht="15" hidden="false" customHeight="false" outlineLevel="0" collapsed="false">
      <c r="A43" s="51" t="s">
        <v>54</v>
      </c>
      <c r="G43" s="0"/>
    </row>
    <row r="44" customFormat="false" ht="15" hidden="false" customHeight="false" outlineLevel="0" collapsed="false">
      <c r="A44" s="0" t="s">
        <v>212</v>
      </c>
      <c r="B44" s="54" t="n">
        <v>2335</v>
      </c>
      <c r="C44" s="54" t="n">
        <v>469</v>
      </c>
      <c r="D44" s="54" t="n">
        <v>3329</v>
      </c>
      <c r="E44" s="54" t="n">
        <v>2674</v>
      </c>
      <c r="F44" s="54" t="n">
        <v>2587</v>
      </c>
      <c r="G44" s="89" t="n">
        <v>3892</v>
      </c>
    </row>
    <row r="45" customFormat="false" ht="15" hidden="false" customHeight="false" outlineLevel="0" collapsed="false">
      <c r="A45" s="0" t="s">
        <v>213</v>
      </c>
      <c r="B45" s="54" t="n">
        <v>150</v>
      </c>
      <c r="C45" s="54" t="n">
        <v>150</v>
      </c>
      <c r="D45" s="54" t="n">
        <v>275</v>
      </c>
      <c r="E45" s="54" t="n">
        <v>0</v>
      </c>
      <c r="F45" s="54" t="n">
        <v>0</v>
      </c>
      <c r="G45" s="89" t="n">
        <v>0</v>
      </c>
    </row>
    <row r="46" customFormat="false" ht="15" hidden="false" customHeight="false" outlineLevel="0" collapsed="false">
      <c r="A46" s="0" t="s">
        <v>214</v>
      </c>
      <c r="B46" s="54" t="n">
        <v>825</v>
      </c>
      <c r="C46" s="54" t="n">
        <v>1482</v>
      </c>
      <c r="D46" s="54" t="n">
        <v>803</v>
      </c>
      <c r="E46" s="54" t="n">
        <v>1376</v>
      </c>
      <c r="F46" s="54" t="n">
        <v>2241</v>
      </c>
      <c r="G46" s="89" t="n">
        <v>2439</v>
      </c>
    </row>
    <row r="47" customFormat="false" ht="15" hidden="false" customHeight="false" outlineLevel="0" collapsed="false">
      <c r="A47" s="0" t="s">
        <v>215</v>
      </c>
      <c r="B47" s="54" t="n">
        <v>0</v>
      </c>
      <c r="C47" s="54" t="n">
        <v>0</v>
      </c>
      <c r="D47" s="54" t="n">
        <v>0</v>
      </c>
      <c r="E47" s="54" t="n">
        <v>0</v>
      </c>
      <c r="F47" s="54" t="n">
        <v>597</v>
      </c>
      <c r="G47" s="89" t="n">
        <v>546</v>
      </c>
    </row>
    <row r="48" customFormat="false" ht="15" hidden="false" customHeight="false" outlineLevel="0" collapsed="false">
      <c r="A48" s="0" t="s">
        <v>216</v>
      </c>
      <c r="B48" s="54" t="n">
        <v>1387</v>
      </c>
      <c r="C48" s="54" t="n">
        <v>1376</v>
      </c>
      <c r="D48" s="54" t="n">
        <v>1593</v>
      </c>
      <c r="E48" s="54" t="n">
        <v>1905</v>
      </c>
      <c r="F48" s="54" t="n">
        <v>2228</v>
      </c>
      <c r="G48" s="89" t="n">
        <v>2530</v>
      </c>
      <c r="H48" s="54" t="n">
        <f aca="false">Inputs!M39*('Income Statement'!I10+'Income Statement'!I11+'Income Statement'!I12+'Income Statement'!I13+'Income Statement'!I14)</f>
        <v>2274.95958828219</v>
      </c>
      <c r="I48" s="54" t="n">
        <f aca="false">Inputs!N39*('Income Statement'!J10+'Income Statement'!J11+'Income Statement'!J12+'Income Statement'!J13+'Income Statement'!J14)</f>
        <v>2405.15036830033</v>
      </c>
      <c r="J48" s="54" t="n">
        <f aca="false">Inputs!O39*('Income Statement'!K10+'Income Statement'!K11+'Income Statement'!K12+'Income Statement'!K13+'Income Statement'!K14)</f>
        <v>2570.51744600052</v>
      </c>
      <c r="K48" s="54" t="n">
        <f aca="false">Inputs!P39*('Income Statement'!L10+'Income Statement'!L11+'Income Statement'!L12+'Income Statement'!L13+'Income Statement'!L14)</f>
        <v>2749.50350466357</v>
      </c>
      <c r="L48" s="54" t="n">
        <f aca="false">Inputs!Q39*('Income Statement'!M10+'Income Statement'!M11+'Income Statement'!M12+'Income Statement'!M13+'Income Statement'!M14)</f>
        <v>2827.34169782043</v>
      </c>
      <c r="M48" s="54" t="n">
        <f aca="false">Inputs!R39*('Income Statement'!N10+'Income Statement'!N11+'Income Statement'!N12+'Income Statement'!N13+'Income Statement'!N14)</f>
        <v>2893.52006092736</v>
      </c>
      <c r="N48" s="54" t="n">
        <f aca="false">Inputs!S39*('Income Statement'!O10+'Income Statement'!O11+'Income Statement'!O12+'Income Statement'!O13+'Income Statement'!O14)</f>
        <v>2960.57880846993</v>
      </c>
      <c r="O48" s="54" t="n">
        <f aca="false">Inputs!T39*('Income Statement'!P10+'Income Statement'!P11+'Income Statement'!P12+'Income Statement'!P13+'Income Statement'!P14)</f>
        <v>3098.66396636717</v>
      </c>
      <c r="P48" s="54" t="n">
        <f aca="false">Inputs!U39*('Income Statement'!Q10+'Income Statement'!Q11+'Income Statement'!Q12+'Income Statement'!Q13+'Income Statement'!Q14)</f>
        <v>3238.1390820658</v>
      </c>
      <c r="Q48" s="54" t="n">
        <f aca="false">Inputs!V39*('Income Statement'!R10+'Income Statement'!R11+'Income Statement'!R12+'Income Statement'!R13+'Income Statement'!R14)</f>
        <v>3371.67722851914</v>
      </c>
    </row>
    <row r="49" customFormat="false" ht="15" hidden="false" customHeight="false" outlineLevel="0" collapsed="false">
      <c r="A49" s="0" t="s">
        <v>217</v>
      </c>
      <c r="B49" s="54" t="n">
        <v>370</v>
      </c>
      <c r="C49" s="54" t="n">
        <v>380</v>
      </c>
      <c r="D49" s="54" t="n">
        <v>390</v>
      </c>
      <c r="E49" s="54" t="n">
        <v>404</v>
      </c>
      <c r="F49" s="54" t="n">
        <v>558</v>
      </c>
      <c r="G49" s="89" t="n">
        <v>542</v>
      </c>
    </row>
    <row r="50" customFormat="false" ht="15" hidden="false" customHeight="false" outlineLevel="0" collapsed="false">
      <c r="A50" s="0" t="s">
        <v>218</v>
      </c>
      <c r="B50" s="54"/>
      <c r="C50" s="54"/>
      <c r="D50" s="54"/>
      <c r="E50" s="54"/>
      <c r="F50" s="54"/>
      <c r="G50" s="89"/>
    </row>
    <row r="51" customFormat="false" ht="15" hidden="false" customHeight="false" outlineLevel="0" collapsed="false">
      <c r="A51" s="67" t="s">
        <v>219</v>
      </c>
      <c r="B51" s="54" t="n">
        <v>7</v>
      </c>
      <c r="C51" s="54" t="n">
        <v>13</v>
      </c>
      <c r="D51" s="54" t="n">
        <v>149</v>
      </c>
      <c r="E51" s="54" t="n">
        <v>19</v>
      </c>
      <c r="F51" s="54" t="n">
        <v>193</v>
      </c>
      <c r="G51" s="89" t="n">
        <v>6</v>
      </c>
    </row>
    <row r="52" customFormat="false" ht="15" hidden="false" customHeight="false" outlineLevel="0" collapsed="false">
      <c r="A52" s="67" t="s">
        <v>220</v>
      </c>
      <c r="B52" s="54" t="n">
        <v>2</v>
      </c>
      <c r="C52" s="54" t="n">
        <v>0</v>
      </c>
      <c r="D52" s="54" t="n">
        <v>4</v>
      </c>
      <c r="E52" s="54" t="n">
        <v>370</v>
      </c>
      <c r="F52" s="54" t="n">
        <v>385</v>
      </c>
      <c r="G52" s="89" t="n">
        <v>18</v>
      </c>
      <c r="I52" s="70"/>
    </row>
    <row r="53" customFormat="false" ht="15" hidden="false" customHeight="false" outlineLevel="0" collapsed="false">
      <c r="A53" s="67" t="s">
        <v>221</v>
      </c>
      <c r="B53" s="54" t="n">
        <v>391</v>
      </c>
      <c r="C53" s="54" t="n">
        <v>456</v>
      </c>
      <c r="D53" s="54" t="n">
        <v>487</v>
      </c>
      <c r="E53" s="54" t="n">
        <v>484</v>
      </c>
      <c r="F53" s="54" t="n">
        <v>667</v>
      </c>
      <c r="G53" s="89" t="n">
        <v>613</v>
      </c>
    </row>
    <row r="54" customFormat="false" ht="15" hidden="false" customHeight="false" outlineLevel="0" collapsed="false">
      <c r="A54" s="0" t="s">
        <v>222</v>
      </c>
      <c r="B54" s="54" t="n">
        <v>237</v>
      </c>
      <c r="C54" s="54" t="n">
        <v>251</v>
      </c>
      <c r="D54" s="54" t="n">
        <v>295</v>
      </c>
      <c r="E54" s="54" t="n">
        <v>249</v>
      </c>
      <c r="F54" s="54" t="n">
        <v>518</v>
      </c>
      <c r="G54" s="89" t="n">
        <v>488</v>
      </c>
    </row>
    <row r="55" customFormat="false" ht="15" hidden="false" customHeight="false" outlineLevel="0" collapsed="false">
      <c r="A55" s="52" t="s">
        <v>223</v>
      </c>
      <c r="B55" s="54" t="n">
        <v>212</v>
      </c>
      <c r="C55" s="54" t="n">
        <v>217</v>
      </c>
      <c r="D55" s="54" t="n">
        <v>223</v>
      </c>
      <c r="E55" s="54" t="n">
        <v>228</v>
      </c>
      <c r="F55" s="54" t="n">
        <v>0</v>
      </c>
      <c r="G55" s="89" t="n">
        <v>0</v>
      </c>
    </row>
    <row r="56" customFormat="false" ht="15" hidden="false" customHeight="false" outlineLevel="0" collapsed="false">
      <c r="A56" s="0" t="s">
        <v>224</v>
      </c>
      <c r="B56" s="54" t="n">
        <v>433</v>
      </c>
      <c r="C56" s="54" t="n">
        <v>303</v>
      </c>
      <c r="D56" s="54" t="n">
        <v>576</v>
      </c>
      <c r="E56" s="54" t="n">
        <v>549</v>
      </c>
      <c r="F56" s="54" t="n">
        <v>915</v>
      </c>
      <c r="G56" s="89" t="n">
        <v>959</v>
      </c>
    </row>
    <row r="57" customFormat="false" ht="15" hidden="false" customHeight="false" outlineLevel="0" collapsed="false">
      <c r="A57" s="0" t="s">
        <v>225</v>
      </c>
      <c r="B57" s="54" t="n">
        <v>0</v>
      </c>
      <c r="C57" s="54" t="n">
        <v>0</v>
      </c>
      <c r="D57" s="54" t="n">
        <v>32</v>
      </c>
      <c r="E57" s="54" t="n">
        <v>217</v>
      </c>
      <c r="F57" s="54" t="n">
        <v>378</v>
      </c>
      <c r="G57" s="89" t="n">
        <v>351</v>
      </c>
    </row>
    <row r="58" customFormat="false" ht="15" hidden="false" customHeight="false" outlineLevel="0" collapsed="false">
      <c r="A58" s="0" t="s">
        <v>226</v>
      </c>
      <c r="B58" s="54" t="n">
        <v>75</v>
      </c>
      <c r="C58" s="54" t="n">
        <v>0</v>
      </c>
      <c r="D58" s="54" t="n">
        <v>138</v>
      </c>
      <c r="E58" s="54" t="n">
        <v>156</v>
      </c>
      <c r="F58" s="54" t="n">
        <v>0</v>
      </c>
      <c r="G58" s="89" t="n">
        <v>0</v>
      </c>
    </row>
    <row r="59" customFormat="false" ht="15" hidden="false" customHeight="false" outlineLevel="0" collapsed="false">
      <c r="A59" s="0" t="s">
        <v>227</v>
      </c>
      <c r="B59" s="54" t="n">
        <v>0</v>
      </c>
      <c r="C59" s="54" t="n">
        <v>0</v>
      </c>
      <c r="D59" s="54" t="n">
        <v>0</v>
      </c>
      <c r="E59" s="54" t="n">
        <v>0</v>
      </c>
      <c r="F59" s="54" t="n">
        <v>489</v>
      </c>
      <c r="G59" s="89" t="n">
        <v>5</v>
      </c>
    </row>
    <row r="60" customFormat="false" ht="15" hidden="false" customHeight="false" outlineLevel="0" collapsed="false">
      <c r="A60" s="0" t="s">
        <v>228</v>
      </c>
      <c r="B60" s="54" t="n">
        <v>107</v>
      </c>
      <c r="C60" s="54" t="n">
        <v>82</v>
      </c>
      <c r="D60" s="54" t="n">
        <v>26</v>
      </c>
      <c r="E60" s="54" t="n">
        <v>278</v>
      </c>
      <c r="F60" s="54" t="n">
        <v>236</v>
      </c>
      <c r="G60" s="89" t="n">
        <v>337</v>
      </c>
    </row>
    <row r="61" customFormat="false" ht="15" hidden="false" customHeight="false" outlineLevel="0" collapsed="false">
      <c r="A61" s="0" t="s">
        <v>229</v>
      </c>
      <c r="B61" s="54" t="n">
        <v>0</v>
      </c>
      <c r="C61" s="54" t="n">
        <v>0</v>
      </c>
      <c r="D61" s="54" t="n">
        <v>271</v>
      </c>
      <c r="E61" s="54" t="n">
        <v>0</v>
      </c>
      <c r="F61" s="54" t="n">
        <v>0</v>
      </c>
      <c r="G61" s="89" t="n">
        <v>0</v>
      </c>
    </row>
    <row r="62" customFormat="false" ht="15" hidden="false" customHeight="false" outlineLevel="0" collapsed="false">
      <c r="A62" s="0" t="s">
        <v>230</v>
      </c>
      <c r="B62" s="54" t="n">
        <v>483</v>
      </c>
      <c r="C62" s="54" t="n">
        <v>346</v>
      </c>
      <c r="D62" s="54" t="n">
        <v>374</v>
      </c>
      <c r="E62" s="54" t="n">
        <v>590</v>
      </c>
      <c r="F62" s="54" t="n">
        <v>925</v>
      </c>
      <c r="G62" s="89" t="n">
        <v>868</v>
      </c>
    </row>
    <row r="63" customFormat="false" ht="15" hidden="false" customHeight="false" outlineLevel="0" collapsed="false">
      <c r="A63" s="99" t="s">
        <v>231</v>
      </c>
      <c r="B63" s="100" t="n">
        <f aca="false">B44+B45+B46+B47+B48+B49+B51+B52+B53+B54+B55+B56+B57+B58+B59+B60+B61+B62</f>
        <v>7014</v>
      </c>
      <c r="C63" s="100" t="n">
        <f aca="false">C44+C45+C46+C47+C48+C49+C51+C52+C53+C54+C55+C56+C57+C58+C59+C60+C61+C62</f>
        <v>5525</v>
      </c>
      <c r="D63" s="100" t="n">
        <f aca="false">D44+D45+D46+D47+D48+D49+D51+D52+D53+D54+D55+D56+D57+D58+D59+D60+D61+D62</f>
        <v>8965</v>
      </c>
      <c r="E63" s="100" t="n">
        <f aca="false">E44+E45+E46+E47+E48+E49+E51+E52+E53+E54+E55+E56+E57+E58+E59+E60+E61+E62</f>
        <v>9499</v>
      </c>
      <c r="F63" s="100" t="n">
        <f aca="false">F44+F45+F46+F47+F48+F49+F51+F52+F53+F54+F55+F56+F57+F58+F59+F60+F61+F62</f>
        <v>12917</v>
      </c>
      <c r="G63" s="101" t="n">
        <f aca="false">G44+G45+G46+G47+G48+G49+G51+G52+G53+G54+G55+G56+G57+G58+G59+G60+G61+G62</f>
        <v>13594</v>
      </c>
      <c r="H63" s="100" t="n">
        <f aca="false">H44+H45+H46+H47+H48+H49+H51+H52+H53+H54+H55+H56+H57+H58+H59+H60+H61+H62</f>
        <v>2274.95958828219</v>
      </c>
      <c r="I63" s="100" t="n">
        <f aca="false">I44+I45+I46+I47+I48+I49+I51+I52+I53+I54+I55+I56+I57+I58+I59+I60+I61+I62</f>
        <v>2405.15036830033</v>
      </c>
      <c r="J63" s="100" t="n">
        <f aca="false">J44+J45+J46+J47+J48+J49+J51+J52+J53+J54+J55+J56+J57+J58+J59+J60+J61+J62</f>
        <v>2570.51744600052</v>
      </c>
      <c r="K63" s="100" t="n">
        <f aca="false">K44+K45+K46+K47+K48+K49+K51+K52+K53+K54+K55+K56+K57+K58+K59+K60+K61+K62</f>
        <v>2749.50350466357</v>
      </c>
      <c r="L63" s="100" t="n">
        <f aca="false">L44+L45+L46+L47+L48+L49+L51+L52+L53+L54+L55+L56+L57+L58+L59+L60+L61+L62</f>
        <v>2827.34169782043</v>
      </c>
      <c r="M63" s="100" t="n">
        <f aca="false">M44+M45+M46+M47+M48+M49+M51+M52+M53+M54+M55+M56+M57+M58+M59+M60+M61+M62</f>
        <v>2893.52006092736</v>
      </c>
      <c r="N63" s="100" t="n">
        <f aca="false">N44+N45+N46+N47+N48+N49+N51+N52+N53+N54+N55+N56+N57+N58+N59+N60+N61+N62</f>
        <v>2960.57880846993</v>
      </c>
      <c r="O63" s="100" t="n">
        <f aca="false">O44+O45+O46+O47+O48+O49+O51+O52+O53+O54+O55+O56+O57+O58+O59+O60+O61+O62</f>
        <v>3098.66396636717</v>
      </c>
      <c r="P63" s="100" t="n">
        <f aca="false">P44+P45+P46+P47+P48+P49+P51+P52+P53+P54+P55+P56+P57+P58+P59+P60+P61+P62</f>
        <v>3238.1390820658</v>
      </c>
      <c r="Q63" s="100" t="n">
        <f aca="false">Q44+Q45+Q46+Q47+Q48+Q49+Q51+Q52+Q53+Q54+Q55+Q56+Q57+Q58+Q59+Q60+Q61+Q62</f>
        <v>3371.67722851914</v>
      </c>
    </row>
    <row r="64" customFormat="false" ht="15" hidden="false" customHeight="false" outlineLevel="0" collapsed="false">
      <c r="A64" s="107" t="s">
        <v>232</v>
      </c>
      <c r="B64" s="100" t="n">
        <v>19274</v>
      </c>
      <c r="C64" s="100" t="n">
        <v>21344</v>
      </c>
      <c r="D64" s="100" t="n">
        <v>20644</v>
      </c>
      <c r="E64" s="100" t="n">
        <v>24688</v>
      </c>
      <c r="F64" s="100" t="n">
        <v>42629</v>
      </c>
      <c r="G64" s="101" t="n">
        <v>44462</v>
      </c>
      <c r="H64" s="109"/>
      <c r="I64" s="100"/>
      <c r="J64" s="100"/>
      <c r="K64" s="100"/>
      <c r="L64" s="100"/>
      <c r="M64" s="100"/>
      <c r="N64" s="100"/>
      <c r="O64" s="100"/>
      <c r="P64" s="100"/>
      <c r="Q64" s="100"/>
    </row>
    <row r="65" customFormat="false" ht="15" hidden="false" customHeight="false" outlineLevel="0" collapsed="false">
      <c r="A65" s="51" t="s">
        <v>233</v>
      </c>
      <c r="B65" s="54"/>
      <c r="C65" s="54"/>
      <c r="D65" s="54"/>
      <c r="E65" s="54"/>
      <c r="F65" s="54"/>
      <c r="G65" s="89"/>
    </row>
    <row r="66" customFormat="false" ht="15" hidden="false" customHeight="false" outlineLevel="0" collapsed="false">
      <c r="A66" s="0" t="s">
        <v>234</v>
      </c>
      <c r="B66" s="54" t="n">
        <v>9938</v>
      </c>
      <c r="C66" s="54" t="n">
        <v>10563</v>
      </c>
      <c r="D66" s="54" t="n">
        <v>11082</v>
      </c>
      <c r="E66" s="54" t="n">
        <v>12322</v>
      </c>
      <c r="F66" s="54" t="n">
        <v>14092</v>
      </c>
      <c r="G66" s="89" t="n">
        <v>6842</v>
      </c>
    </row>
    <row r="67" customFormat="false" ht="15" hidden="false" customHeight="false" outlineLevel="0" collapsed="false">
      <c r="A67" s="0" t="s">
        <v>235</v>
      </c>
      <c r="B67" s="54" t="n">
        <v>211</v>
      </c>
      <c r="C67" s="54" t="n">
        <v>203</v>
      </c>
      <c r="D67" s="54" t="n">
        <v>192</v>
      </c>
      <c r="E67" s="54" t="n">
        <v>187</v>
      </c>
      <c r="F67" s="54" t="n">
        <v>219</v>
      </c>
      <c r="G67" s="89" t="n">
        <v>7256</v>
      </c>
    </row>
    <row r="68" customFormat="false" ht="15" hidden="false" customHeight="false" outlineLevel="0" collapsed="false">
      <c r="A68" s="0" t="s">
        <v>236</v>
      </c>
      <c r="B68" s="54" t="n">
        <v>894</v>
      </c>
      <c r="C68" s="54" t="n">
        <v>966</v>
      </c>
      <c r="D68" s="54" t="n">
        <v>1208</v>
      </c>
      <c r="E68" s="54" t="n">
        <v>1219</v>
      </c>
      <c r="F68" s="54" t="n">
        <v>2228</v>
      </c>
      <c r="G68" s="89" t="n">
        <v>2267</v>
      </c>
    </row>
    <row r="69" customFormat="false" ht="15" hidden="false" customHeight="false" outlineLevel="0" collapsed="false">
      <c r="A69" s="0" t="s">
        <v>237</v>
      </c>
      <c r="B69" s="54" t="n">
        <v>2540</v>
      </c>
      <c r="C69" s="54" t="n">
        <v>1461</v>
      </c>
      <c r="D69" s="54" t="n">
        <v>2432</v>
      </c>
      <c r="E69" s="54" t="n">
        <v>2582</v>
      </c>
      <c r="F69" s="54" t="n">
        <v>2299</v>
      </c>
      <c r="G69" s="89" t="n">
        <v>2256</v>
      </c>
    </row>
    <row r="70" customFormat="false" ht="15" hidden="false" customHeight="false" outlineLevel="0" collapsed="false">
      <c r="A70" s="0" t="s">
        <v>238</v>
      </c>
      <c r="B70" s="54" t="n">
        <v>1748</v>
      </c>
      <c r="C70" s="54" t="n">
        <v>2006</v>
      </c>
      <c r="D70" s="54" t="n">
        <v>2168</v>
      </c>
      <c r="E70" s="54" t="n">
        <v>3542</v>
      </c>
      <c r="F70" s="54" t="n">
        <v>4136</v>
      </c>
      <c r="G70" s="89" t="n">
        <v>4473</v>
      </c>
    </row>
    <row r="71" customFormat="false" ht="15" hidden="false" customHeight="false" outlineLevel="0" collapsed="false">
      <c r="A71" s="0" t="s">
        <v>239</v>
      </c>
      <c r="B71" s="54" t="n">
        <v>0</v>
      </c>
      <c r="C71" s="54" t="n">
        <v>0</v>
      </c>
      <c r="D71" s="54" t="n">
        <v>0</v>
      </c>
      <c r="E71" s="54" t="n">
        <v>0</v>
      </c>
      <c r="F71" s="54" t="n">
        <v>397</v>
      </c>
      <c r="G71" s="89" t="n">
        <v>389</v>
      </c>
    </row>
    <row r="72" customFormat="false" ht="15" hidden="false" customHeight="false" outlineLevel="0" collapsed="false">
      <c r="A72" s="0" t="s">
        <v>240</v>
      </c>
      <c r="B72" s="54" t="n">
        <v>1194</v>
      </c>
      <c r="C72" s="54" t="n">
        <v>1275</v>
      </c>
      <c r="D72" s="54" t="n">
        <v>1215</v>
      </c>
      <c r="E72" s="54" t="n">
        <v>1162</v>
      </c>
      <c r="F72" s="54" t="n">
        <v>2748</v>
      </c>
      <c r="G72" s="89" t="n">
        <v>2684</v>
      </c>
    </row>
    <row r="73" customFormat="false" ht="15" hidden="false" customHeight="false" outlineLevel="0" collapsed="false">
      <c r="A73" s="0" t="s">
        <v>241</v>
      </c>
      <c r="B73" s="54" t="n">
        <v>289</v>
      </c>
      <c r="C73" s="54" t="n">
        <v>479</v>
      </c>
      <c r="D73" s="54" t="n">
        <v>398</v>
      </c>
      <c r="E73" s="54" t="n">
        <v>254</v>
      </c>
      <c r="F73" s="54" t="n">
        <v>258</v>
      </c>
      <c r="G73" s="89" t="n">
        <v>239</v>
      </c>
    </row>
    <row r="74" customFormat="false" ht="15" hidden="false" customHeight="false" outlineLevel="0" collapsed="false">
      <c r="A74" s="0" t="s">
        <v>242</v>
      </c>
      <c r="B74" s="54" t="n">
        <v>668</v>
      </c>
      <c r="C74" s="54" t="n">
        <v>585</v>
      </c>
      <c r="D74" s="54" t="n">
        <v>589</v>
      </c>
      <c r="E74" s="54" t="n">
        <v>720</v>
      </c>
      <c r="F74" s="54" t="n">
        <v>880</v>
      </c>
      <c r="G74" s="89" t="n">
        <v>691</v>
      </c>
    </row>
    <row r="75" customFormat="false" ht="15" hidden="false" customHeight="false" outlineLevel="0" collapsed="false">
      <c r="A75" s="65" t="s">
        <v>243</v>
      </c>
      <c r="B75" s="97" t="n">
        <f aca="false">B66+B67+B68+B69+B70+B71+B72+B73+B74</f>
        <v>17482</v>
      </c>
      <c r="C75" s="97" t="n">
        <f aca="false">C66+C67+C68+C69+C70+C71+C72+C73+C74</f>
        <v>17538</v>
      </c>
      <c r="D75" s="97" t="n">
        <f aca="false">D66+D67+D68+D69+D70+D71+D72+D73+D74</f>
        <v>19284</v>
      </c>
      <c r="E75" s="97" t="n">
        <f aca="false">E66+E67+E68+E69+E70+E71+E72+E73+E74</f>
        <v>21988</v>
      </c>
      <c r="F75" s="97" t="n">
        <f aca="false">F66+F67+F68+F69+F70+F71+F72+F73+F74</f>
        <v>27257</v>
      </c>
      <c r="G75" s="98" t="n">
        <f aca="false">G66+G67+G68+G69+G70+G71+G72+G73+G74</f>
        <v>27097</v>
      </c>
      <c r="H75" s="97" t="n">
        <f aca="false">H66+H67+H68+H69+H70+H71+H72+H73+H74</f>
        <v>0</v>
      </c>
      <c r="I75" s="97" t="n">
        <f aca="false">I66+I67+I68+I69+I70+I71+I72+I73+I74</f>
        <v>0</v>
      </c>
      <c r="J75" s="97" t="n">
        <f aca="false">J66+J67+J68+J69+J70+J71+J72+J73+J74</f>
        <v>0</v>
      </c>
      <c r="K75" s="97" t="n">
        <f aca="false">K66+K67+K68+K69+K70+K71+K72+K73+K74</f>
        <v>0</v>
      </c>
      <c r="L75" s="97" t="n">
        <f aca="false">L66+L67+L68+L69+L70+L71+L72+L73+L74</f>
        <v>0</v>
      </c>
      <c r="M75" s="97" t="n">
        <f aca="false">M66+M67+M68+M69+M70+M71+M72+M73+M74</f>
        <v>0</v>
      </c>
      <c r="N75" s="97" t="n">
        <f aca="false">N66+N67+N68+N69+N70+N71+N72+N73+N74</f>
        <v>0</v>
      </c>
      <c r="O75" s="97" t="n">
        <f aca="false">O66+O67+O68+O69+O70+O71+O72+O73+O74</f>
        <v>0</v>
      </c>
      <c r="P75" s="97" t="n">
        <f aca="false">P66+P67+P68+P69+P70+P71+P72+P73+P74</f>
        <v>0</v>
      </c>
      <c r="Q75" s="97" t="n">
        <f aca="false">Q66+Q67+Q68+Q69+Q70+Q71+Q72+Q73+Q74</f>
        <v>0</v>
      </c>
    </row>
    <row r="76" customFormat="false" ht="15" hidden="false" customHeight="false" outlineLevel="0" collapsed="false">
      <c r="A76" s="64" t="s">
        <v>244</v>
      </c>
      <c r="B76" s="97" t="n">
        <f aca="false">B63+B64+B75</f>
        <v>43770</v>
      </c>
      <c r="C76" s="97" t="n">
        <f aca="false">C63+C64+C75</f>
        <v>44407</v>
      </c>
      <c r="D76" s="97" t="n">
        <f aca="false">D63+D64+D75</f>
        <v>48893</v>
      </c>
      <c r="E76" s="97" t="n">
        <f aca="false">E63+E64+E75</f>
        <v>56175</v>
      </c>
      <c r="F76" s="97" t="n">
        <f aca="false">F63+F64+F75</f>
        <v>82803</v>
      </c>
      <c r="G76" s="98" t="n">
        <f aca="false">G63+G64+G75</f>
        <v>85153</v>
      </c>
      <c r="H76" s="97" t="n">
        <f aca="false">H63+H64+H75</f>
        <v>2274.95958828219</v>
      </c>
      <c r="I76" s="97" t="n">
        <f aca="false">I63+I64+I75</f>
        <v>2405.15036830033</v>
      </c>
      <c r="J76" s="97" t="n">
        <f aca="false">J63+J64+J75</f>
        <v>2570.51744600052</v>
      </c>
      <c r="K76" s="97" t="n">
        <f aca="false">K63+K64+K75</f>
        <v>2749.50350466357</v>
      </c>
      <c r="L76" s="97" t="n">
        <f aca="false">L63+L64+L75</f>
        <v>2827.34169782043</v>
      </c>
      <c r="M76" s="97" t="n">
        <f aca="false">M63+M64+M75</f>
        <v>2893.52006092736</v>
      </c>
      <c r="N76" s="97" t="n">
        <f aca="false">N63+N64+N75</f>
        <v>2960.57880846993</v>
      </c>
      <c r="O76" s="97" t="n">
        <f aca="false">O63+O64+O75</f>
        <v>3098.66396636717</v>
      </c>
      <c r="P76" s="97" t="n">
        <f aca="false">P63+P64+P75</f>
        <v>3238.1390820658</v>
      </c>
      <c r="Q76" s="97" t="n">
        <f aca="false">Q63+Q64+Q75</f>
        <v>3371.67722851914</v>
      </c>
    </row>
    <row r="77" customFormat="false" ht="15" hidden="false" customHeight="false" outlineLevel="0" collapsed="false">
      <c r="A77" s="64" t="s">
        <v>245</v>
      </c>
      <c r="B77" s="97" t="n">
        <v>375</v>
      </c>
      <c r="C77" s="97" t="n">
        <v>375</v>
      </c>
      <c r="D77" s="97" t="n">
        <v>375</v>
      </c>
      <c r="E77" s="97" t="n">
        <v>118</v>
      </c>
      <c r="F77" s="97" t="n">
        <v>118</v>
      </c>
      <c r="G77" s="98" t="n">
        <v>324</v>
      </c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customFormat="false" ht="15" hidden="false" customHeight="false" outlineLevel="0" collapsed="false">
      <c r="A78" s="64" t="s">
        <v>246</v>
      </c>
      <c r="B78" s="97" t="n">
        <v>0</v>
      </c>
      <c r="C78" s="97" t="n">
        <v>0</v>
      </c>
      <c r="D78" s="97" t="n">
        <v>39</v>
      </c>
      <c r="E78" s="97" t="n">
        <v>43</v>
      </c>
      <c r="F78" s="97" t="n">
        <v>164</v>
      </c>
      <c r="G78" s="98" t="n">
        <v>0</v>
      </c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customFormat="false" ht="15" hidden="false" customHeight="false" outlineLevel="0" collapsed="false">
      <c r="A79" s="64" t="s">
        <v>247</v>
      </c>
      <c r="B79" s="97" t="n">
        <v>19004</v>
      </c>
      <c r="C79" s="97" t="n">
        <v>19764</v>
      </c>
      <c r="D79" s="97" t="n">
        <v>20926</v>
      </c>
      <c r="E79" s="97" t="n">
        <v>21982</v>
      </c>
      <c r="F79" s="97" t="n">
        <v>26612</v>
      </c>
      <c r="G79" s="98" t="n">
        <v>25528</v>
      </c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customFormat="false" ht="15.75" hidden="false" customHeight="false" outlineLevel="0" collapsed="false">
      <c r="A80" s="104" t="s">
        <v>248</v>
      </c>
      <c r="B80" s="110" t="n">
        <f aca="false">B76+B77+B78+B79</f>
        <v>63149</v>
      </c>
      <c r="C80" s="110" t="n">
        <f aca="false">C76+C77+C78+C79</f>
        <v>64546</v>
      </c>
      <c r="D80" s="110" t="n">
        <f aca="false">D76+D77+D78+D79</f>
        <v>70233</v>
      </c>
      <c r="E80" s="110" t="n">
        <f aca="false">E76+E77+E78+E79</f>
        <v>78318</v>
      </c>
      <c r="F80" s="110" t="n">
        <f aca="false">F76+F77+F78+F79</f>
        <v>109697</v>
      </c>
      <c r="G80" s="111" t="n">
        <f aca="false">G76+G77+G78+G79</f>
        <v>111005</v>
      </c>
      <c r="H80" s="110" t="n">
        <f aca="false">H76+H77+H78+H79</f>
        <v>2274.95958828219</v>
      </c>
      <c r="I80" s="110" t="n">
        <f aca="false">I76+I77+I78+I79</f>
        <v>2405.15036830033</v>
      </c>
      <c r="J80" s="110" t="n">
        <f aca="false">J76+J77+J78+J79</f>
        <v>2570.51744600052</v>
      </c>
      <c r="K80" s="110" t="n">
        <f aca="false">K76+K77+K78+K79</f>
        <v>2749.50350466357</v>
      </c>
      <c r="L80" s="110" t="n">
        <f aca="false">L76+L77+L78+L79</f>
        <v>2827.34169782043</v>
      </c>
      <c r="M80" s="110" t="n">
        <f aca="false">M76+M77+M78+M79</f>
        <v>2893.52006092736</v>
      </c>
      <c r="N80" s="110" t="n">
        <f aca="false">N76+N77+N78+N79</f>
        <v>2960.57880846993</v>
      </c>
      <c r="O80" s="110" t="n">
        <f aca="false">O76+O77+O78+O79</f>
        <v>3098.66396636717</v>
      </c>
      <c r="P80" s="110" t="n">
        <f aca="false">P76+P77+P78+P79</f>
        <v>3238.1390820658</v>
      </c>
      <c r="Q80" s="110" t="n">
        <f aca="false">Q76+Q77+Q78+Q79</f>
        <v>3371.67722851914</v>
      </c>
    </row>
    <row r="81" customFormat="false" ht="15" hidden="false" customHeight="false" outlineLevel="0" collapsed="false">
      <c r="G81" s="0"/>
    </row>
    <row r="82" customFormat="false" ht="15" hidden="false" customHeight="false" outlineLevel="0" collapsed="false">
      <c r="A82" s="0" t="s">
        <v>249</v>
      </c>
      <c r="B82" s="70" t="n">
        <f aca="false">B38-B80</f>
        <v>0</v>
      </c>
      <c r="C82" s="70" t="n">
        <f aca="false">C38-C80</f>
        <v>0</v>
      </c>
      <c r="D82" s="70" t="n">
        <f aca="false">D38-D80</f>
        <v>0</v>
      </c>
      <c r="E82" s="70" t="n">
        <f aca="false">E38-E80</f>
        <v>-2769.60000000001</v>
      </c>
      <c r="F82" s="70" t="n">
        <f aca="false">F38-F80</f>
        <v>-16147.7504</v>
      </c>
      <c r="G82" s="88" t="n">
        <f aca="false">G38-G80</f>
        <v>-16523.775424</v>
      </c>
      <c r="H82" s="70" t="n">
        <f aca="false">H38-H80</f>
        <v>75501.0575520974</v>
      </c>
      <c r="I82" s="70" t="n">
        <f aca="false">I38-I80</f>
        <v>78936.4155525871</v>
      </c>
      <c r="J82" s="70" t="n">
        <f aca="false">J38-J80</f>
        <v>82533.6814594667</v>
      </c>
      <c r="K82" s="70" t="n">
        <f aca="false">K38-K80</f>
        <v>86325.806751415</v>
      </c>
      <c r="L82" s="70" t="n">
        <f aca="false">L38-L80</f>
        <v>90439.617735509</v>
      </c>
      <c r="M82" s="70" t="n">
        <f aca="false">M38-M80</f>
        <v>94798.3904156476</v>
      </c>
      <c r="N82" s="70" t="n">
        <f aca="false">N38-N80</f>
        <v>99403.0948296489</v>
      </c>
      <c r="O82" s="70" t="n">
        <f aca="false">O38-O80</f>
        <v>104197.885549163</v>
      </c>
      <c r="P82" s="70" t="n">
        <f aca="false">P38-P80</f>
        <v>109267.536753083</v>
      </c>
      <c r="Q82" s="70" t="n">
        <f aca="false">Q38-Q80</f>
        <v>114635.399820967</v>
      </c>
    </row>
    <row r="83" customFormat="false" ht="15" hidden="false" customHeight="false" outlineLevel="0" collapsed="false">
      <c r="G83" s="0"/>
    </row>
    <row r="84" customFormat="false" ht="15" hidden="false" customHeight="false" outlineLevel="0" collapsed="false">
      <c r="G84" s="0"/>
    </row>
    <row r="85" customFormat="false" ht="15" hidden="false" customHeight="false" outlineLevel="0" collapsed="false">
      <c r="G85" s="0"/>
    </row>
    <row r="86" customFormat="false" ht="15" hidden="false" customHeight="false" outlineLevel="0" collapsed="false">
      <c r="A86" s="0" t="s">
        <v>250</v>
      </c>
      <c r="G86" s="0"/>
    </row>
    <row r="87" customFormat="false" ht="15" hidden="false" customHeight="false" outlineLevel="0" collapsed="false">
      <c r="G87" s="0"/>
    </row>
    <row r="88" customFormat="false" ht="15" hidden="false" customHeight="false" outlineLevel="0" collapsed="false">
      <c r="A88" s="67" t="s">
        <v>251</v>
      </c>
      <c r="G88" s="0"/>
    </row>
    <row r="89" customFormat="false" ht="15" hidden="false" customHeight="false" outlineLevel="0" collapsed="false">
      <c r="A89" s="67" t="s">
        <v>252</v>
      </c>
      <c r="C89" s="70" t="n">
        <f aca="false">B92</f>
        <v>1402</v>
      </c>
      <c r="D89" s="70" t="n">
        <f aca="false">C92</f>
        <v>1475</v>
      </c>
      <c r="E89" s="70" t="n">
        <f aca="false">D92</f>
        <v>1522</v>
      </c>
      <c r="F89" s="70" t="n">
        <f aca="false">E92</f>
        <v>1455</v>
      </c>
      <c r="G89" s="88" t="n">
        <f aca="false">F92</f>
        <v>2289</v>
      </c>
      <c r="H89" s="70" t="n">
        <f aca="false">G92</f>
        <v>2616</v>
      </c>
      <c r="I89" s="70" t="n">
        <f aca="false">H92</f>
        <v>2667.71015065392</v>
      </c>
      <c r="J89" s="70" t="n">
        <f aca="false">I92</f>
        <v>2721.90070132237</v>
      </c>
      <c r="K89" s="70" t="n">
        <f aca="false">J92</f>
        <v>2778.75328630495</v>
      </c>
      <c r="L89" s="70" t="n">
        <f aca="false">K92</f>
        <v>2838.46478300999</v>
      </c>
      <c r="M89" s="70" t="n">
        <f aca="false">L92</f>
        <v>2901.24863397947</v>
      </c>
      <c r="N89" s="70" t="n">
        <f aca="false">M92</f>
        <v>2967.33628451596</v>
      </c>
      <c r="O89" s="70" t="n">
        <f aca="false">N92</f>
        <v>3036.9787460443</v>
      </c>
      <c r="P89" s="70" t="n">
        <f aca="false">O92</f>
        <v>3110.44829622994</v>
      </c>
      <c r="Q89" s="70" t="n">
        <f aca="false">P92</f>
        <v>3188.04032784236</v>
      </c>
    </row>
    <row r="90" customFormat="false" ht="15" hidden="false" customHeight="false" outlineLevel="0" collapsed="false">
      <c r="A90" s="67" t="s">
        <v>259</v>
      </c>
      <c r="C90" s="80" t="n">
        <f aca="false">C92/'Income Statement'!D8</f>
        <v>0.0863229355650495</v>
      </c>
      <c r="D90" s="80" t="n">
        <f aca="false">D92/'Income Statement'!E8</f>
        <v>0.0824172848865544</v>
      </c>
      <c r="E90" s="80" t="n">
        <f aca="false">E92/'Income Statement'!F8</f>
        <v>0.083195151237921</v>
      </c>
      <c r="F90" s="80" t="n">
        <f aca="false">F92/'Income Statement'!G8</f>
        <v>0.115048250904704</v>
      </c>
      <c r="G90" s="93" t="n">
        <f aca="false">G92/'Income Statement'!H8</f>
        <v>0.113586036212062</v>
      </c>
      <c r="H90" s="94" t="n">
        <f aca="false">AVERAGE($E$90:$G$90)</f>
        <v>0.103943146118229</v>
      </c>
      <c r="I90" s="94" t="n">
        <f aca="false">AVERAGE($E$90:$G$90)</f>
        <v>0.103943146118229</v>
      </c>
      <c r="J90" s="94" t="n">
        <f aca="false">AVERAGE($E$90:$G$90)</f>
        <v>0.103943146118229</v>
      </c>
      <c r="K90" s="94" t="n">
        <f aca="false">AVERAGE($E$90:$G$90)</f>
        <v>0.103943146118229</v>
      </c>
      <c r="L90" s="94" t="n">
        <f aca="false">AVERAGE($E$90:$G$90)</f>
        <v>0.103943146118229</v>
      </c>
      <c r="M90" s="94" t="n">
        <f aca="false">AVERAGE($E$90:$G$90)</f>
        <v>0.103943146118229</v>
      </c>
      <c r="N90" s="94" t="n">
        <f aca="false">AVERAGE($E$90:$G$90)</f>
        <v>0.103943146118229</v>
      </c>
      <c r="O90" s="94" t="n">
        <f aca="false">AVERAGE($E$90:$G$90)</f>
        <v>0.103943146118229</v>
      </c>
      <c r="P90" s="94" t="n">
        <f aca="false">AVERAGE($E$90:$G$90)</f>
        <v>0.103943146118229</v>
      </c>
      <c r="Q90" s="94" t="n">
        <f aca="false">AVERAGE($E$90:$G$90)</f>
        <v>0.103943146118229</v>
      </c>
    </row>
    <row r="91" customFormat="false" ht="15" hidden="false" customHeight="false" outlineLevel="0" collapsed="false">
      <c r="A91" s="67" t="s">
        <v>254</v>
      </c>
      <c r="C91" s="70" t="n">
        <f aca="false">C92-C89</f>
        <v>73</v>
      </c>
      <c r="D91" s="70" t="n">
        <f aca="false">D92-D89</f>
        <v>47</v>
      </c>
      <c r="E91" s="70" t="n">
        <f aca="false">E92-E89</f>
        <v>-67</v>
      </c>
      <c r="F91" s="70" t="n">
        <f aca="false">F92-F89</f>
        <v>834</v>
      </c>
      <c r="G91" s="88" t="n">
        <f aca="false">G92-G89</f>
        <v>327</v>
      </c>
      <c r="H91" s="70" t="n">
        <f aca="false">('Income Statement'!I8-'Income Statement'!H8)*BSsimp!H90</f>
        <v>51.7101506539192</v>
      </c>
      <c r="I91" s="70" t="n">
        <f aca="false">('Income Statement'!J8-'Income Statement'!I8)*BSsimp!I90</f>
        <v>54.1905506684485</v>
      </c>
      <c r="J91" s="70" t="n">
        <f aca="false">('Income Statement'!K8-'Income Statement'!J8)*BSsimp!J90</f>
        <v>56.8525849825797</v>
      </c>
      <c r="K91" s="70" t="n">
        <f aca="false">('Income Statement'!L8-'Income Statement'!K8)*BSsimp!K90</f>
        <v>59.7114967050405</v>
      </c>
      <c r="L91" s="70" t="n">
        <f aca="false">('Income Statement'!M8-'Income Statement'!L8)*BSsimp!L90</f>
        <v>62.7838509694844</v>
      </c>
      <c r="M91" s="70" t="n">
        <f aca="false">('Income Statement'!N8-'Income Statement'!M8)*BSsimp!M90</f>
        <v>66.0876505364842</v>
      </c>
      <c r="N91" s="70" t="n">
        <f aca="false">('Income Statement'!O8-'Income Statement'!N8)*BSsimp!N90</f>
        <v>69.6424615283434</v>
      </c>
      <c r="O91" s="70" t="n">
        <f aca="false">('Income Statement'!P8-'Income Statement'!O8)*BSsimp!O90</f>
        <v>73.4695501856419</v>
      </c>
      <c r="P91" s="70" t="n">
        <f aca="false">('Income Statement'!Q8-'Income Statement'!P8)*BSsimp!P90</f>
        <v>77.5920316124163</v>
      </c>
      <c r="Q91" s="70" t="n">
        <f aca="false">('Income Statement'!R8-'Income Statement'!Q8)*BSsimp!Q90</f>
        <v>82.0350315617452</v>
      </c>
    </row>
    <row r="92" customFormat="false" ht="15" hidden="false" customHeight="false" outlineLevel="0" collapsed="false">
      <c r="A92" s="67" t="s">
        <v>255</v>
      </c>
      <c r="B92" s="70" t="n">
        <f aca="false">B5</f>
        <v>1402</v>
      </c>
      <c r="C92" s="70" t="n">
        <f aca="false">C5</f>
        <v>1475</v>
      </c>
      <c r="D92" s="70" t="n">
        <f aca="false">D5</f>
        <v>1522</v>
      </c>
      <c r="E92" s="70" t="n">
        <f aca="false">E5</f>
        <v>1455</v>
      </c>
      <c r="F92" s="70" t="n">
        <f aca="false">F5</f>
        <v>2289</v>
      </c>
      <c r="G92" s="70" t="n">
        <f aca="false">G5</f>
        <v>2616</v>
      </c>
      <c r="H92" s="70" t="n">
        <f aca="false">H89+H91</f>
        <v>2667.71015065392</v>
      </c>
      <c r="I92" s="70" t="n">
        <f aca="false">I89+I91</f>
        <v>2721.90070132237</v>
      </c>
      <c r="J92" s="70" t="n">
        <f aca="false">J89+J91</f>
        <v>2778.75328630495</v>
      </c>
      <c r="K92" s="70" t="n">
        <f aca="false">K89+K91</f>
        <v>2838.46478300999</v>
      </c>
      <c r="L92" s="70" t="n">
        <f aca="false">L89+L91</f>
        <v>2901.24863397947</v>
      </c>
      <c r="M92" s="70" t="n">
        <f aca="false">M89+M91</f>
        <v>2967.33628451596</v>
      </c>
      <c r="N92" s="70" t="n">
        <f aca="false">N89+N91</f>
        <v>3036.9787460443</v>
      </c>
      <c r="O92" s="70" t="n">
        <f aca="false">O89+O91</f>
        <v>3110.44829622994</v>
      </c>
      <c r="P92" s="70" t="n">
        <f aca="false">P89+P91</f>
        <v>3188.04032784236</v>
      </c>
      <c r="Q92" s="70" t="n">
        <f aca="false">Q89+Q91</f>
        <v>3270.0753594041</v>
      </c>
    </row>
    <row r="93" customFormat="false" ht="15" hidden="false" customHeight="false" outlineLevel="0" collapsed="false">
      <c r="G93" s="0"/>
    </row>
    <row r="94" customFormat="false" ht="15" hidden="false" customHeight="false" outlineLevel="0" collapsed="false">
      <c r="G94" s="0"/>
    </row>
    <row r="95" customFormat="false" ht="15" hidden="false" customHeight="false" outlineLevel="0" collapsed="false">
      <c r="A95" s="67" t="s">
        <v>258</v>
      </c>
      <c r="G95" s="0"/>
    </row>
    <row r="96" customFormat="false" ht="15" hidden="false" customHeight="false" outlineLevel="0" collapsed="false">
      <c r="A96" s="67" t="s">
        <v>252</v>
      </c>
      <c r="C96" s="70" t="n">
        <f aca="false">B99</f>
        <v>247</v>
      </c>
      <c r="D96" s="70" t="n">
        <f aca="false">C99</f>
        <v>344</v>
      </c>
      <c r="E96" s="70" t="n">
        <f aca="false">D99</f>
        <v>425</v>
      </c>
      <c r="F96" s="70" t="n">
        <f aca="false">E99</f>
        <v>592</v>
      </c>
      <c r="G96" s="88" t="n">
        <f aca="false">F99</f>
        <v>1501</v>
      </c>
      <c r="H96" s="70" t="n">
        <f aca="false">G99</f>
        <v>1432</v>
      </c>
      <c r="I96" s="70" t="n">
        <f aca="false">H99</f>
        <v>1453.35359651907</v>
      </c>
      <c r="J96" s="70" t="n">
        <f aca="false">I99</f>
        <v>1475.73146893846</v>
      </c>
      <c r="K96" s="70" t="n">
        <f aca="false">J99</f>
        <v>1499.20862275511</v>
      </c>
      <c r="L96" s="70" t="n">
        <f aca="false">K99</f>
        <v>1523.86635807526</v>
      </c>
      <c r="M96" s="70" t="n">
        <f aca="false">L99</f>
        <v>1549.79281554178</v>
      </c>
      <c r="N96" s="70" t="n">
        <f aca="false">M99</f>
        <v>1577.08356999915</v>
      </c>
      <c r="O96" s="70" t="n">
        <f aca="false">N99</f>
        <v>1605.84227608037</v>
      </c>
      <c r="P96" s="70" t="n">
        <f aca="false">O99</f>
        <v>1636.18137026715</v>
      </c>
      <c r="Q96" s="70" t="n">
        <f aca="false">P99</f>
        <v>1668.22283437418</v>
      </c>
    </row>
    <row r="97" customFormat="false" ht="15" hidden="false" customHeight="false" outlineLevel="0" collapsed="false">
      <c r="A97" s="67" t="s">
        <v>259</v>
      </c>
      <c r="C97" s="80" t="n">
        <f aca="false">C99/'Income Statement'!D$8</f>
        <v>0.0201322642944929</v>
      </c>
      <c r="D97" s="80" t="n">
        <f aca="false">D99/'Income Statement'!E$8</f>
        <v>0.023014025017599</v>
      </c>
      <c r="E97" s="80" t="n">
        <f aca="false">E99/'Income Statement'!F$8</f>
        <v>0.033849848476185</v>
      </c>
      <c r="F97" s="80" t="n">
        <f aca="false">F99/'Income Statement'!G$8</f>
        <v>0.0754422999597909</v>
      </c>
      <c r="G97" s="80" t="n">
        <f aca="false">G99/'Income Statement'!H$8</f>
        <v>0.0621770656940645</v>
      </c>
      <c r="H97" s="94" t="n">
        <f aca="false">AVERAGE($C$97:$G$97)</f>
        <v>0.0429231006884265</v>
      </c>
      <c r="I97" s="94" t="n">
        <f aca="false">AVERAGE($C$97:$G$97)</f>
        <v>0.0429231006884265</v>
      </c>
      <c r="J97" s="94" t="n">
        <f aca="false">AVERAGE($C$97:$G$97)</f>
        <v>0.0429231006884265</v>
      </c>
      <c r="K97" s="94" t="n">
        <f aca="false">AVERAGE($C$97:$G$97)</f>
        <v>0.0429231006884265</v>
      </c>
      <c r="L97" s="94" t="n">
        <f aca="false">AVERAGE($C$97:$G$97)</f>
        <v>0.0429231006884265</v>
      </c>
      <c r="M97" s="94" t="n">
        <f aca="false">AVERAGE($C$97:$G$97)</f>
        <v>0.0429231006884265</v>
      </c>
      <c r="N97" s="94" t="n">
        <f aca="false">AVERAGE($C$97:$G$97)</f>
        <v>0.0429231006884265</v>
      </c>
      <c r="O97" s="94" t="n">
        <f aca="false">AVERAGE($C$97:$G$97)</f>
        <v>0.0429231006884265</v>
      </c>
      <c r="P97" s="94" t="n">
        <f aca="false">AVERAGE($C$97:$G$97)</f>
        <v>0.0429231006884265</v>
      </c>
      <c r="Q97" s="94" t="n">
        <f aca="false">AVERAGE($C$97:$G$97)</f>
        <v>0.0429231006884265</v>
      </c>
    </row>
    <row r="98" customFormat="false" ht="15" hidden="false" customHeight="false" outlineLevel="0" collapsed="false">
      <c r="A98" s="67" t="s">
        <v>254</v>
      </c>
      <c r="C98" s="70" t="n">
        <f aca="false">C99-C96</f>
        <v>97</v>
      </c>
      <c r="D98" s="70" t="n">
        <f aca="false">D99-D96</f>
        <v>81</v>
      </c>
      <c r="E98" s="70" t="n">
        <f aca="false">E99-E96</f>
        <v>167</v>
      </c>
      <c r="F98" s="70" t="n">
        <f aca="false">F99-F96</f>
        <v>909</v>
      </c>
      <c r="G98" s="88" t="n">
        <f aca="false">G99-G96</f>
        <v>-69</v>
      </c>
      <c r="H98" s="70" t="n">
        <f aca="false">('Income Statement'!I$8-'Income Statement'!H$8)*BSsimp!H97</f>
        <v>21.3535965190745</v>
      </c>
      <c r="I98" s="70" t="n">
        <f aca="false">('Income Statement'!J$8-'Income Statement'!I$8)*BSsimp!I97</f>
        <v>22.3778724193837</v>
      </c>
      <c r="J98" s="70" t="n">
        <f aca="false">('Income Statement'!K$8-'Income Statement'!J$8)*BSsimp!J97</f>
        <v>23.4771538166538</v>
      </c>
      <c r="K98" s="70" t="n">
        <f aca="false">('Income Statement'!L$8-'Income Statement'!K$8)*BSsimp!K97</f>
        <v>24.6577353201512</v>
      </c>
      <c r="L98" s="70" t="n">
        <f aca="false">('Income Statement'!M$8-'Income Statement'!L$8)*BSsimp!L97</f>
        <v>25.9264574665181</v>
      </c>
      <c r="M98" s="70" t="n">
        <f aca="false">('Income Statement'!N$8-'Income Statement'!M$8)*BSsimp!M97</f>
        <v>27.2907544573693</v>
      </c>
      <c r="N98" s="70" t="n">
        <f aca="false">('Income Statement'!O$8-'Income Statement'!N$8)*BSsimp!N97</f>
        <v>28.7587060812151</v>
      </c>
      <c r="O98" s="70" t="n">
        <f aca="false">('Income Statement'!P$8-'Income Statement'!O$8)*BSsimp!O97</f>
        <v>30.339094186785</v>
      </c>
      <c r="P98" s="70" t="n">
        <f aca="false">('Income Statement'!Q$8-'Income Statement'!P$8)*BSsimp!P97</f>
        <v>32.0414641070329</v>
      </c>
      <c r="Q98" s="70" t="n">
        <f aca="false">('Income Statement'!R$8-'Income Statement'!Q$8)*BSsimp!Q97</f>
        <v>33.8761914681501</v>
      </c>
    </row>
    <row r="99" customFormat="false" ht="15" hidden="false" customHeight="false" outlineLevel="0" collapsed="false">
      <c r="A99" s="67" t="s">
        <v>255</v>
      </c>
      <c r="B99" s="70" t="n">
        <f aca="false">B6</f>
        <v>247</v>
      </c>
      <c r="C99" s="70" t="n">
        <f aca="false">C6</f>
        <v>344</v>
      </c>
      <c r="D99" s="70" t="n">
        <f aca="false">D6</f>
        <v>425</v>
      </c>
      <c r="E99" s="70" t="n">
        <f aca="false">E6</f>
        <v>592</v>
      </c>
      <c r="F99" s="70" t="n">
        <f aca="false">F6</f>
        <v>1501</v>
      </c>
      <c r="G99" s="70" t="n">
        <f aca="false">G6</f>
        <v>1432</v>
      </c>
      <c r="H99" s="70" t="n">
        <f aca="false">H96+H98</f>
        <v>1453.35359651907</v>
      </c>
      <c r="I99" s="70" t="n">
        <f aca="false">I96+I98</f>
        <v>1475.73146893846</v>
      </c>
      <c r="J99" s="70" t="n">
        <f aca="false">J96+J98</f>
        <v>1499.20862275511</v>
      </c>
      <c r="K99" s="70" t="n">
        <f aca="false">K96+K98</f>
        <v>1523.86635807526</v>
      </c>
      <c r="L99" s="70" t="n">
        <f aca="false">L96+L98</f>
        <v>1549.79281554178</v>
      </c>
      <c r="M99" s="70" t="n">
        <f aca="false">M96+M98</f>
        <v>1577.08356999915</v>
      </c>
      <c r="N99" s="70" t="n">
        <f aca="false">N96+N98</f>
        <v>1605.84227608037</v>
      </c>
      <c r="O99" s="70" t="n">
        <f aca="false">O96+O98</f>
        <v>1636.18137026715</v>
      </c>
      <c r="P99" s="70" t="n">
        <f aca="false">P96+P98</f>
        <v>1668.22283437418</v>
      </c>
      <c r="Q99" s="70" t="n">
        <f aca="false">Q96+Q98</f>
        <v>1702.09902584233</v>
      </c>
    </row>
    <row r="100" customFormat="false" ht="15" hidden="false" customHeight="false" outlineLevel="0" collapsed="false">
      <c r="G100" s="0"/>
    </row>
    <row r="101" customFormat="false" ht="15" hidden="false" customHeight="false" outlineLevel="0" collapsed="false">
      <c r="G101" s="0"/>
    </row>
    <row r="102" customFormat="false" ht="15" hidden="false" customHeight="false" outlineLevel="0" collapsed="false">
      <c r="A102" s="67" t="s">
        <v>184</v>
      </c>
      <c r="G102" s="0"/>
    </row>
    <row r="103" customFormat="false" ht="15" hidden="false" customHeight="false" outlineLevel="0" collapsed="false">
      <c r="A103" s="67" t="s">
        <v>252</v>
      </c>
      <c r="C103" s="70" t="n">
        <f aca="false">B106</f>
        <v>1000</v>
      </c>
      <c r="D103" s="70" t="n">
        <f aca="false">C106</f>
        <v>959</v>
      </c>
      <c r="E103" s="70" t="n">
        <f aca="false">D106</f>
        <v>1039</v>
      </c>
      <c r="F103" s="70" t="n">
        <f aca="false">E106</f>
        <v>1061</v>
      </c>
      <c r="G103" s="88" t="n">
        <f aca="false">F106</f>
        <v>1462</v>
      </c>
      <c r="H103" s="70" t="n">
        <f aca="false">G106</f>
        <v>1438</v>
      </c>
      <c r="I103" s="70" t="n">
        <f aca="false">H106</f>
        <v>1468.7419288778</v>
      </c>
      <c r="J103" s="70" t="n">
        <f aca="false">I106</f>
        <v>1500.95846728333</v>
      </c>
      <c r="K103" s="70" t="n">
        <f aca="false">J106</f>
        <v>1534.75759766589</v>
      </c>
      <c r="L103" s="70" t="n">
        <f aca="false">K106</f>
        <v>1570.2563645749</v>
      </c>
      <c r="M103" s="70" t="n">
        <f aca="false">L106</f>
        <v>1607.58166061001</v>
      </c>
      <c r="N103" s="70" t="n">
        <f aca="false">M106</f>
        <v>1646.87108109712</v>
      </c>
      <c r="O103" s="70" t="n">
        <f aca="false">N106</f>
        <v>1688.27385351423</v>
      </c>
      <c r="P103" s="70" t="n">
        <f aca="false">O106</f>
        <v>1731.95184821989</v>
      </c>
      <c r="Q103" s="70" t="n">
        <f aca="false">P106</f>
        <v>1778.08067761119</v>
      </c>
    </row>
    <row r="104" customFormat="false" ht="15" hidden="false" customHeight="false" outlineLevel="0" collapsed="false">
      <c r="A104" s="67" t="s">
        <v>259</v>
      </c>
      <c r="C104" s="80" t="n">
        <f aca="false">C106/'Income Statement'!D$8</f>
        <v>0.0561245391233101</v>
      </c>
      <c r="D104" s="80" t="n">
        <f aca="false">D106/'Income Statement'!E$8</f>
        <v>0.0562625223371419</v>
      </c>
      <c r="E104" s="80" t="n">
        <f aca="false">E106/'Income Statement'!F$8</f>
        <v>0.0606667047858654</v>
      </c>
      <c r="F104" s="80" t="n">
        <f aca="false">F106/'Income Statement'!G$8</f>
        <v>0.0734821069561721</v>
      </c>
      <c r="G104" s="80" t="n">
        <f aca="false">G106/'Income Statement'!H$8</f>
        <v>0.0624375841257436</v>
      </c>
      <c r="H104" s="94" t="n">
        <f aca="false">AVERAGE($C104:$G104)</f>
        <v>0.0617946914656466</v>
      </c>
      <c r="I104" s="94" t="n">
        <f aca="false">AVERAGE($C104:$G104)</f>
        <v>0.0617946914656466</v>
      </c>
      <c r="J104" s="94" t="n">
        <f aca="false">AVERAGE($C104:$G104)</f>
        <v>0.0617946914656466</v>
      </c>
      <c r="K104" s="94" t="n">
        <f aca="false">AVERAGE($C104:$G104)</f>
        <v>0.0617946914656466</v>
      </c>
      <c r="L104" s="94" t="n">
        <f aca="false">AVERAGE($C104:$G104)</f>
        <v>0.0617946914656466</v>
      </c>
      <c r="M104" s="94" t="n">
        <f aca="false">AVERAGE($C104:$G104)</f>
        <v>0.0617946914656466</v>
      </c>
      <c r="N104" s="94" t="n">
        <f aca="false">AVERAGE($C104:$G104)</f>
        <v>0.0617946914656466</v>
      </c>
      <c r="O104" s="94" t="n">
        <f aca="false">AVERAGE($C104:$G104)</f>
        <v>0.0617946914656466</v>
      </c>
      <c r="P104" s="94" t="n">
        <f aca="false">AVERAGE($C104:$G104)</f>
        <v>0.0617946914656466</v>
      </c>
      <c r="Q104" s="94" t="n">
        <f aca="false">AVERAGE($C104:$G104)</f>
        <v>0.0617946914656466</v>
      </c>
    </row>
    <row r="105" customFormat="false" ht="15" hidden="false" customHeight="false" outlineLevel="0" collapsed="false">
      <c r="A105" s="67" t="s">
        <v>254</v>
      </c>
      <c r="C105" s="70" t="n">
        <f aca="false">C106-C103</f>
        <v>-41</v>
      </c>
      <c r="D105" s="70" t="n">
        <f aca="false">D106-D103</f>
        <v>80</v>
      </c>
      <c r="E105" s="70" t="n">
        <f aca="false">E106-E103</f>
        <v>22</v>
      </c>
      <c r="F105" s="70" t="n">
        <f aca="false">F106-F103</f>
        <v>401</v>
      </c>
      <c r="G105" s="88" t="n">
        <f aca="false">G106-G103</f>
        <v>-24</v>
      </c>
      <c r="H105" s="70" t="n">
        <f aca="false">('Income Statement'!I$8-'Income Statement'!H$8)*BSsimp!H104</f>
        <v>30.7419288777968</v>
      </c>
      <c r="I105" s="70" t="n">
        <f aca="false">('Income Statement'!J$8-'Income Statement'!I$8)*BSsimp!I104</f>
        <v>32.2165384055369</v>
      </c>
      <c r="J105" s="70" t="n">
        <f aca="false">('Income Statement'!K$8-'Income Statement'!J$8)*BSsimp!J104</f>
        <v>33.7991303825547</v>
      </c>
      <c r="K105" s="70" t="n">
        <f aca="false">('Income Statement'!L$8-'Income Statement'!K$8)*BSsimp!K104</f>
        <v>35.4987669090077</v>
      </c>
      <c r="L105" s="70" t="n">
        <f aca="false">('Income Statement'!M$8-'Income Statement'!L$8)*BSsimp!L104</f>
        <v>37.325296035118</v>
      </c>
      <c r="M105" s="70" t="n">
        <f aca="false">('Income Statement'!N$8-'Income Statement'!M$8)*BSsimp!M104</f>
        <v>39.2894204871032</v>
      </c>
      <c r="N105" s="70" t="n">
        <f aca="false">('Income Statement'!O$8-'Income Statement'!N$8)*BSsimp!N104</f>
        <v>41.4027724171167</v>
      </c>
      <c r="O105" s="70" t="n">
        <f aca="false">('Income Statement'!P$8-'Income Statement'!O$8)*BSsimp!O104</f>
        <v>43.6779947056593</v>
      </c>
      <c r="P105" s="70" t="n">
        <f aca="false">('Income Statement'!Q$8-'Income Statement'!P$8)*BSsimp!P104</f>
        <v>46.1288293912924</v>
      </c>
      <c r="Q105" s="70" t="n">
        <f aca="false">('Income Statement'!R$8-'Income Statement'!Q$8)*BSsimp!Q104</f>
        <v>48.7702138529323</v>
      </c>
    </row>
    <row r="106" customFormat="false" ht="15" hidden="false" customHeight="false" outlineLevel="0" collapsed="false">
      <c r="A106" s="67" t="s">
        <v>255</v>
      </c>
      <c r="B106" s="70" t="n">
        <f aca="false">B7</f>
        <v>1000</v>
      </c>
      <c r="C106" s="70" t="n">
        <f aca="false">C7</f>
        <v>959</v>
      </c>
      <c r="D106" s="70" t="n">
        <f aca="false">D7</f>
        <v>1039</v>
      </c>
      <c r="E106" s="70" t="n">
        <f aca="false">E7</f>
        <v>1061</v>
      </c>
      <c r="F106" s="70" t="n">
        <f aca="false">F7</f>
        <v>1462</v>
      </c>
      <c r="G106" s="88" t="n">
        <f aca="false">G7</f>
        <v>1438</v>
      </c>
      <c r="H106" s="70" t="n">
        <f aca="false">H103+H105</f>
        <v>1468.7419288778</v>
      </c>
      <c r="I106" s="70" t="n">
        <f aca="false">I103+I105</f>
        <v>1500.95846728333</v>
      </c>
      <c r="J106" s="70" t="n">
        <f aca="false">J103+J105</f>
        <v>1534.75759766589</v>
      </c>
      <c r="K106" s="70" t="n">
        <f aca="false">K103+K105</f>
        <v>1570.2563645749</v>
      </c>
      <c r="L106" s="70" t="n">
        <f aca="false">L103+L105</f>
        <v>1607.58166061001</v>
      </c>
      <c r="M106" s="70" t="n">
        <f aca="false">M103+M105</f>
        <v>1646.87108109712</v>
      </c>
      <c r="N106" s="70" t="n">
        <f aca="false">N103+N105</f>
        <v>1688.27385351423</v>
      </c>
      <c r="O106" s="70" t="n">
        <f aca="false">O103+O105</f>
        <v>1731.95184821989</v>
      </c>
      <c r="P106" s="70" t="n">
        <f aca="false">P103+P105</f>
        <v>1778.08067761119</v>
      </c>
      <c r="Q106" s="70" t="n">
        <f aca="false">Q103+Q105</f>
        <v>1826.85089146412</v>
      </c>
    </row>
    <row r="107" customFormat="false" ht="15" hidden="false" customHeight="false" outlineLevel="0" collapsed="false">
      <c r="G107" s="0"/>
    </row>
    <row r="108" customFormat="false" ht="15" hidden="false" customHeight="false" outlineLevel="0" collapsed="false">
      <c r="G108" s="0"/>
    </row>
    <row r="109" customFormat="false" ht="15" hidden="false" customHeight="false" outlineLevel="0" collapsed="false">
      <c r="A109" s="67" t="s">
        <v>185</v>
      </c>
      <c r="G109" s="0"/>
    </row>
    <row r="110" customFormat="false" ht="15" hidden="false" customHeight="false" outlineLevel="0" collapsed="false">
      <c r="A110" s="67" t="s">
        <v>252</v>
      </c>
      <c r="C110" s="70" t="n">
        <f aca="false">B113</f>
        <v>1819</v>
      </c>
      <c r="D110" s="70" t="n">
        <f aca="false">C113</f>
        <v>1339</v>
      </c>
      <c r="E110" s="70" t="n">
        <f aca="false">D113</f>
        <v>930</v>
      </c>
      <c r="F110" s="70" t="n">
        <f aca="false">E113</f>
        <v>868</v>
      </c>
      <c r="G110" s="88" t="n">
        <f aca="false">F113</f>
        <v>689</v>
      </c>
      <c r="H110" s="70" t="n">
        <f aca="false">G113</f>
        <v>594</v>
      </c>
      <c r="I110" s="70" t="n">
        <f aca="false">H113</f>
        <v>618.349540633456</v>
      </c>
      <c r="J110" s="70" t="n">
        <f aca="false">I113</f>
        <v>643.884682977193</v>
      </c>
      <c r="K110" s="70" t="n">
        <f aca="false">J113</f>
        <v>670.692617187004</v>
      </c>
      <c r="L110" s="70" t="n">
        <f aca="false">K113</f>
        <v>698.867855966848</v>
      </c>
      <c r="M110" s="70" t="n">
        <f aca="false">L113</f>
        <v>728.512869717598</v>
      </c>
      <c r="N110" s="70" t="n">
        <f aca="false">M113</f>
        <v>759.738777226037</v>
      </c>
      <c r="O110" s="70" t="n">
        <f aca="false">N113</f>
        <v>792.666096762371</v>
      </c>
      <c r="P110" s="70" t="n">
        <f aca="false">O113</f>
        <v>827.425562881582</v>
      </c>
      <c r="Q110" s="70" t="n">
        <f aca="false">P113</f>
        <v>864.159014688495</v>
      </c>
    </row>
    <row r="111" customFormat="false" ht="15" hidden="false" customHeight="false" outlineLevel="0" collapsed="false">
      <c r="A111" s="67" t="s">
        <v>260</v>
      </c>
      <c r="C111" s="80" t="n">
        <f aca="false">C113/('Income Statement'!D$3+'Income Statement'!D$4+'Income Statement'!D5)</f>
        <v>0.0786028764308776</v>
      </c>
      <c r="D111" s="80" t="n">
        <f aca="false">D113/('Income Statement'!E$3+'Income Statement'!E$4+'Income Statement'!E5)</f>
        <v>0.0505270020645442</v>
      </c>
      <c r="E111" s="80" t="n">
        <f aca="false">E113/('Income Statement'!F$3+'Income Statement'!F$4+'Income Statement'!F5)</f>
        <v>0.0497649352138516</v>
      </c>
      <c r="F111" s="80" t="n">
        <f aca="false">F113/('Income Statement'!G$3+'Income Statement'!G$4+'Income Statement'!G5)</f>
        <v>0.0385821480568933</v>
      </c>
      <c r="G111" s="80" t="n">
        <f aca="false">G113/('Income Statement'!H$3+'Income Statement'!H$4+'Income Statement'!H5)</f>
        <v>0.032217822856213</v>
      </c>
      <c r="H111" s="94" t="n">
        <f aca="false">AVERAGE($C111:$G111)</f>
        <v>0.0499389569244759</v>
      </c>
      <c r="I111" s="94" t="n">
        <f aca="false">AVERAGE($C111:$G111)</f>
        <v>0.0499389569244759</v>
      </c>
      <c r="J111" s="94" t="n">
        <f aca="false">AVERAGE($C111:$G111)</f>
        <v>0.0499389569244759</v>
      </c>
      <c r="K111" s="94" t="n">
        <f aca="false">AVERAGE($C111:$G111)</f>
        <v>0.0499389569244759</v>
      </c>
      <c r="L111" s="94" t="n">
        <f aca="false">AVERAGE($C111:$G111)</f>
        <v>0.0499389569244759</v>
      </c>
      <c r="M111" s="94" t="n">
        <f aca="false">AVERAGE($C111:$G111)</f>
        <v>0.0499389569244759</v>
      </c>
      <c r="N111" s="94" t="n">
        <f aca="false">AVERAGE($C111:$G111)</f>
        <v>0.0499389569244759</v>
      </c>
      <c r="O111" s="94" t="n">
        <f aca="false">AVERAGE($C111:$G111)</f>
        <v>0.0499389569244759</v>
      </c>
      <c r="P111" s="94" t="n">
        <f aca="false">AVERAGE($C111:$G111)</f>
        <v>0.0499389569244759</v>
      </c>
      <c r="Q111" s="94" t="n">
        <f aca="false">AVERAGE($C111:$G111)</f>
        <v>0.0499389569244759</v>
      </c>
    </row>
    <row r="112" customFormat="false" ht="15" hidden="false" customHeight="false" outlineLevel="0" collapsed="false">
      <c r="A112" s="67" t="s">
        <v>254</v>
      </c>
      <c r="C112" s="70" t="n">
        <f aca="false">C113-C110</f>
        <v>-480</v>
      </c>
      <c r="D112" s="70" t="n">
        <f aca="false">D113-D110</f>
        <v>-409</v>
      </c>
      <c r="E112" s="70" t="n">
        <f aca="false">E113-E110</f>
        <v>-62</v>
      </c>
      <c r="F112" s="70" t="n">
        <f aca="false">F113-F110</f>
        <v>-179</v>
      </c>
      <c r="G112" s="88" t="n">
        <f aca="false">G113-G110</f>
        <v>-95</v>
      </c>
      <c r="H112" s="70" t="n">
        <f aca="false">('Income Statement'!I3+'Income Statement'!I4+'Income Statement'!I5-'Income Statement'!H3-'Income Statement'!H4-'Income Statement'!H5)*BSsimp!H111</f>
        <v>24.3495406334561</v>
      </c>
      <c r="I112" s="70" t="n">
        <f aca="false">('Income Statement'!J3+'Income Statement'!J4+'Income Statement'!J5-'Income Statement'!I3-'Income Statement'!I4-'Income Statement'!I5)*BSsimp!I111</f>
        <v>25.5351423437364</v>
      </c>
      <c r="J112" s="70" t="n">
        <f aca="false">('Income Statement'!K3+'Income Statement'!K4+'Income Statement'!K5-'Income Statement'!J3-'Income Statement'!J4-'Income Statement'!J5)*BSsimp!J111</f>
        <v>26.807934209811</v>
      </c>
      <c r="K112" s="70" t="n">
        <f aca="false">('Income Statement'!L3+'Income Statement'!L4+'Income Statement'!L5-'Income Statement'!K3-'Income Statement'!K4-'Income Statement'!K5)*BSsimp!K111</f>
        <v>28.1752387798443</v>
      </c>
      <c r="L112" s="70" t="n">
        <f aca="false">('Income Statement'!M3+'Income Statement'!M4+'Income Statement'!M5-'Income Statement'!L3-'Income Statement'!L4-'Income Statement'!L5)*BSsimp!L111</f>
        <v>29.6450137507496</v>
      </c>
      <c r="M112" s="70" t="n">
        <f aca="false">('Income Statement'!N3+'Income Statement'!N4+'Income Statement'!N5-'Income Statement'!M3-'Income Statement'!M4-'Income Statement'!M5)*BSsimp!M111</f>
        <v>31.2259075084391</v>
      </c>
      <c r="N112" s="70" t="n">
        <f aca="false">('Income Statement'!O3+'Income Statement'!O4+'Income Statement'!O5-'Income Statement'!N3-'Income Statement'!N4-'Income Statement'!N5)*BSsimp!N111</f>
        <v>32.9273195363348</v>
      </c>
      <c r="O112" s="70" t="n">
        <f aca="false">('Income Statement'!P3+'Income Statement'!P4+'Income Statement'!P5-'Income Statement'!O3-'Income Statement'!O4-'Income Statement'!O5)*BSsimp!O111</f>
        <v>34.7594661192101</v>
      </c>
      <c r="P112" s="70" t="n">
        <f aca="false">('Income Statement'!Q3+'Income Statement'!Q4+'Income Statement'!Q5-'Income Statement'!P3-'Income Statement'!P4-'Income Statement'!P5)*BSsimp!P111</f>
        <v>36.7334518069134</v>
      </c>
      <c r="Q112" s="70" t="n">
        <f aca="false">('Income Statement'!R3+'Income Statement'!R4+'Income Statement'!R5-'Income Statement'!Q3-'Income Statement'!Q4-'Income Statement'!Q5)*BSsimp!Q111</f>
        <v>38.8613471432811</v>
      </c>
    </row>
    <row r="113" customFormat="false" ht="15" hidden="false" customHeight="false" outlineLevel="0" collapsed="false">
      <c r="A113" s="67" t="s">
        <v>255</v>
      </c>
      <c r="B113" s="70" t="n">
        <f aca="false">B8</f>
        <v>1819</v>
      </c>
      <c r="C113" s="70" t="n">
        <f aca="false">C8</f>
        <v>1339</v>
      </c>
      <c r="D113" s="70" t="n">
        <f aca="false">D8</f>
        <v>930</v>
      </c>
      <c r="E113" s="70" t="n">
        <f aca="false">E8</f>
        <v>868</v>
      </c>
      <c r="F113" s="70" t="n">
        <f aca="false">F8</f>
        <v>689</v>
      </c>
      <c r="G113" s="70" t="n">
        <f aca="false">G8</f>
        <v>594</v>
      </c>
      <c r="H113" s="70" t="n">
        <f aca="false">H110+H112</f>
        <v>618.349540633456</v>
      </c>
      <c r="I113" s="70" t="n">
        <f aca="false">I110+I112</f>
        <v>643.884682977193</v>
      </c>
      <c r="J113" s="70" t="n">
        <f aca="false">J110+J112</f>
        <v>670.692617187004</v>
      </c>
      <c r="K113" s="70" t="n">
        <f aca="false">K110+K112</f>
        <v>698.867855966848</v>
      </c>
      <c r="L113" s="70" t="n">
        <f aca="false">L110+L112</f>
        <v>728.512869717598</v>
      </c>
      <c r="M113" s="70" t="n">
        <f aca="false">M110+M112</f>
        <v>759.738777226037</v>
      </c>
      <c r="N113" s="70" t="n">
        <f aca="false">N110+N112</f>
        <v>792.666096762371</v>
      </c>
      <c r="O113" s="70" t="n">
        <f aca="false">O110+O112</f>
        <v>827.425562881582</v>
      </c>
      <c r="P113" s="70" t="n">
        <f aca="false">P110+P112</f>
        <v>864.159014688495</v>
      </c>
      <c r="Q113" s="70" t="n">
        <f aca="false">Q110+Q112</f>
        <v>903.020361831776</v>
      </c>
    </row>
    <row r="114" customFormat="false" ht="15" hidden="false" customHeight="false" outlineLevel="0" collapsed="false">
      <c r="G114" s="0"/>
    </row>
    <row r="115" customFormat="false" ht="15" hidden="false" customHeight="false" outlineLevel="0" collapsed="false">
      <c r="G115" s="0"/>
    </row>
    <row r="116" customFormat="false" ht="15" hidden="false" customHeight="false" outlineLevel="0" collapsed="false">
      <c r="A116" s="67" t="s">
        <v>187</v>
      </c>
      <c r="G116" s="0"/>
    </row>
    <row r="117" customFormat="false" ht="15" hidden="false" customHeight="false" outlineLevel="0" collapsed="false">
      <c r="A117" s="67" t="s">
        <v>252</v>
      </c>
      <c r="C117" s="70" t="n">
        <f aca="false">B120</f>
        <v>0</v>
      </c>
      <c r="D117" s="70" t="n">
        <f aca="false">C120</f>
        <v>0</v>
      </c>
      <c r="E117" s="70" t="n">
        <f aca="false">D120</f>
        <v>0</v>
      </c>
      <c r="F117" s="70" t="n">
        <f aca="false">E120</f>
        <v>0</v>
      </c>
      <c r="G117" s="88" t="n">
        <f aca="false">F120</f>
        <v>631</v>
      </c>
      <c r="H117" s="70" t="n">
        <f aca="false">G120</f>
        <v>595</v>
      </c>
      <c r="I117" s="70" t="n">
        <f aca="false">H120</f>
        <v>592.599854943058</v>
      </c>
      <c r="J117" s="70" t="n">
        <f aca="false">I120</f>
        <v>592.599854943058</v>
      </c>
      <c r="K117" s="70" t="n">
        <f aca="false">J120</f>
        <v>592.599854943058</v>
      </c>
      <c r="L117" s="70" t="n">
        <f aca="false">K120</f>
        <v>592.599854943058</v>
      </c>
      <c r="M117" s="70" t="n">
        <f aca="false">L120</f>
        <v>592.599854943058</v>
      </c>
      <c r="N117" s="70" t="n">
        <f aca="false">M120</f>
        <v>592.599854943058</v>
      </c>
      <c r="O117" s="70" t="n">
        <f aca="false">N120</f>
        <v>592.599854943058</v>
      </c>
      <c r="P117" s="70" t="n">
        <f aca="false">O120</f>
        <v>592.599854943058</v>
      </c>
      <c r="Q117" s="70" t="n">
        <f aca="false">P120</f>
        <v>592.599854943058</v>
      </c>
    </row>
    <row r="118" customFormat="false" ht="15" hidden="false" customHeight="false" outlineLevel="0" collapsed="false">
      <c r="A118" s="67" t="s">
        <v>261</v>
      </c>
      <c r="C118" s="80" t="n">
        <f aca="false">C120/('Income Statement'!D$3+'Income Statement'!D$4+'Income Statement'!D12)</f>
        <v>0</v>
      </c>
      <c r="D118" s="80" t="n">
        <f aca="false">D120/('Income Statement'!E$3+'Income Statement'!E$4+'Income Statement'!E12)</f>
        <v>0</v>
      </c>
      <c r="E118" s="80" t="n">
        <f aca="false">E120/('Income Statement'!F$3+'Income Statement'!F$4+'Income Statement'!F12)</f>
        <v>0</v>
      </c>
      <c r="F118" s="80" t="n">
        <f aca="false">F120/('Income Statement'!G$3+'Income Statement'!G$4+'Income Statement'!G12)</f>
        <v>0.0355032915095932</v>
      </c>
      <c r="G118" s="80" t="n">
        <f aca="false">G120/('Income Statement'!H$3+'Income Statement'!H$4+'Income Statement'!H12)</f>
        <v>0.0307382342305109</v>
      </c>
      <c r="H118" s="94" t="n">
        <f aca="false">AVERAGE($F118:$G118)</f>
        <v>0.0331207628700521</v>
      </c>
      <c r="I118" s="94" t="n">
        <f aca="false">AVERAGE($F118:$G118)</f>
        <v>0.0331207628700521</v>
      </c>
      <c r="J118" s="94" t="n">
        <f aca="false">AVERAGE($F118:$G118)</f>
        <v>0.0331207628700521</v>
      </c>
      <c r="K118" s="94" t="n">
        <f aca="false">AVERAGE($F118:$G118)</f>
        <v>0.0331207628700521</v>
      </c>
      <c r="L118" s="94" t="n">
        <f aca="false">AVERAGE($F118:$G118)</f>
        <v>0.0331207628700521</v>
      </c>
      <c r="M118" s="94" t="n">
        <f aca="false">AVERAGE($F118:$G118)</f>
        <v>0.0331207628700521</v>
      </c>
      <c r="N118" s="94" t="n">
        <f aca="false">AVERAGE($F118:$G118)</f>
        <v>0.0331207628700521</v>
      </c>
      <c r="O118" s="94" t="n">
        <f aca="false">AVERAGE($F118:$G118)</f>
        <v>0.0331207628700521</v>
      </c>
      <c r="P118" s="94" t="n">
        <f aca="false">AVERAGE($F118:$G118)</f>
        <v>0.0331207628700521</v>
      </c>
      <c r="Q118" s="94" t="n">
        <f aca="false">AVERAGE($F118:$G118)</f>
        <v>0.0331207628700521</v>
      </c>
    </row>
    <row r="119" customFormat="false" ht="15" hidden="false" customHeight="false" outlineLevel="0" collapsed="false">
      <c r="A119" s="67" t="s">
        <v>254</v>
      </c>
      <c r="C119" s="70" t="n">
        <f aca="false">C120-C117</f>
        <v>0</v>
      </c>
      <c r="D119" s="70" t="n">
        <f aca="false">D120-D117</f>
        <v>0</v>
      </c>
      <c r="E119" s="70" t="n">
        <f aca="false">E120-E117</f>
        <v>0</v>
      </c>
      <c r="F119" s="70" t="n">
        <f aca="false">F120-F117</f>
        <v>631</v>
      </c>
      <c r="G119" s="88" t="n">
        <f aca="false">G120-G117</f>
        <v>-36</v>
      </c>
      <c r="H119" s="70" t="n">
        <f aca="false">('Income Statement'!I12-'Income Statement'!H12)*BSsimp!H118</f>
        <v>-2.40014505694247</v>
      </c>
      <c r="I119" s="70" t="n">
        <f aca="false">('Income Statement'!J12-'Income Statement'!I12)*BSsimp!I118</f>
        <v>0</v>
      </c>
      <c r="J119" s="70" t="n">
        <f aca="false">('Income Statement'!K12-'Income Statement'!J12)*BSsimp!J118</f>
        <v>0</v>
      </c>
      <c r="K119" s="70" t="n">
        <f aca="false">('Income Statement'!L12-'Income Statement'!K12)*BSsimp!K118</f>
        <v>0</v>
      </c>
      <c r="L119" s="70" t="n">
        <f aca="false">('Income Statement'!M12-'Income Statement'!L12)*BSsimp!L118</f>
        <v>0</v>
      </c>
      <c r="M119" s="70" t="n">
        <f aca="false">('Income Statement'!N12-'Income Statement'!M12)*BSsimp!M118</f>
        <v>0</v>
      </c>
      <c r="N119" s="70" t="n">
        <f aca="false">('Income Statement'!O12-'Income Statement'!N12)*BSsimp!N118</f>
        <v>0</v>
      </c>
      <c r="O119" s="70" t="n">
        <f aca="false">('Income Statement'!P12-'Income Statement'!O12)*BSsimp!O118</f>
        <v>0</v>
      </c>
      <c r="P119" s="70" t="n">
        <f aca="false">('Income Statement'!Q12-'Income Statement'!P12)*BSsimp!P118</f>
        <v>0</v>
      </c>
      <c r="Q119" s="70" t="n">
        <f aca="false">('Income Statement'!R12-'Income Statement'!Q12)*BSsimp!Q118</f>
        <v>0</v>
      </c>
    </row>
    <row r="120" customFormat="false" ht="15" hidden="false" customHeight="false" outlineLevel="0" collapsed="false">
      <c r="A120" s="67" t="s">
        <v>255</v>
      </c>
      <c r="B120" s="70" t="n">
        <f aca="false">B9</f>
        <v>0</v>
      </c>
      <c r="C120" s="70" t="n">
        <f aca="false">C9</f>
        <v>0</v>
      </c>
      <c r="D120" s="70" t="n">
        <f aca="false">D9</f>
        <v>0</v>
      </c>
      <c r="E120" s="70" t="n">
        <f aca="false">E9</f>
        <v>0</v>
      </c>
      <c r="F120" s="70" t="n">
        <f aca="false">F9</f>
        <v>631</v>
      </c>
      <c r="G120" s="70" t="n">
        <f aca="false">G9</f>
        <v>595</v>
      </c>
      <c r="H120" s="70" t="n">
        <f aca="false">H117+H119</f>
        <v>592.599854943058</v>
      </c>
      <c r="I120" s="70" t="n">
        <f aca="false">I117+I119</f>
        <v>592.599854943058</v>
      </c>
      <c r="J120" s="70" t="n">
        <f aca="false">J117+J119</f>
        <v>592.599854943058</v>
      </c>
      <c r="K120" s="70" t="n">
        <f aca="false">K117+K119</f>
        <v>592.599854943058</v>
      </c>
      <c r="L120" s="70" t="n">
        <f aca="false">L117+L119</f>
        <v>592.599854943058</v>
      </c>
      <c r="M120" s="70" t="n">
        <f aca="false">M117+M119</f>
        <v>592.599854943058</v>
      </c>
      <c r="N120" s="70" t="n">
        <f aca="false">N117+N119</f>
        <v>592.599854943058</v>
      </c>
      <c r="O120" s="70" t="n">
        <f aca="false">O117+O119</f>
        <v>592.599854943058</v>
      </c>
      <c r="P120" s="70" t="n">
        <f aca="false">P117+P119</f>
        <v>592.599854943058</v>
      </c>
      <c r="Q120" s="70" t="n">
        <f aca="false">Q117+Q119</f>
        <v>592.599854943058</v>
      </c>
    </row>
    <row r="121" customFormat="false" ht="15" hidden="false" customHeight="false" outlineLevel="0" collapsed="false">
      <c r="G121" s="0"/>
    </row>
    <row r="122" customFormat="false" ht="15" hidden="false" customHeight="false" outlineLevel="0" collapsed="false">
      <c r="G122" s="0"/>
    </row>
    <row r="123" customFormat="false" ht="15" hidden="false" customHeight="false" outlineLevel="0" collapsed="false">
      <c r="A123" s="67" t="s">
        <v>188</v>
      </c>
      <c r="G123" s="0"/>
    </row>
    <row r="124" customFormat="false" ht="15" hidden="false" customHeight="false" outlineLevel="0" collapsed="false">
      <c r="A124" s="67" t="s">
        <v>252</v>
      </c>
      <c r="C124" s="70" t="n">
        <f aca="false">B127</f>
        <v>657</v>
      </c>
      <c r="D124" s="70" t="n">
        <f aca="false">C127</f>
        <v>278</v>
      </c>
      <c r="E124" s="70" t="n">
        <f aca="false">D127</f>
        <v>665</v>
      </c>
      <c r="F124" s="70" t="n">
        <f aca="false">E127</f>
        <v>495</v>
      </c>
      <c r="G124" s="88" t="n">
        <f aca="false">F127</f>
        <v>364</v>
      </c>
      <c r="H124" s="70" t="n">
        <f aca="false">G127</f>
        <v>452</v>
      </c>
      <c r="I124" s="70" t="n">
        <f aca="false">H127</f>
        <v>473.877944669088</v>
      </c>
      <c r="J124" s="70" t="n">
        <f aca="false">I127</f>
        <v>494.177297696831</v>
      </c>
      <c r="K124" s="70" t="n">
        <f aca="false">J127</f>
        <v>515.520502496921</v>
      </c>
      <c r="L124" s="70" t="n">
        <f aca="false">K127</f>
        <v>537.969725036527</v>
      </c>
      <c r="M124" s="70" t="n">
        <f aca="false">L127</f>
        <v>561.591185455898</v>
      </c>
      <c r="N124" s="70" t="n">
        <f aca="false">M127</f>
        <v>586.455442356185</v>
      </c>
      <c r="O124" s="70" t="n">
        <f aca="false">N127</f>
        <v>612.637698301014</v>
      </c>
      <c r="P124" s="70" t="n">
        <f aca="false">O127</f>
        <v>640.218128196878</v>
      </c>
      <c r="Q124" s="70" t="n">
        <f aca="false">P127</f>
        <v>669.282232353156</v>
      </c>
    </row>
    <row r="125" customFormat="false" ht="15" hidden="false" customHeight="false" outlineLevel="0" collapsed="false">
      <c r="A125" s="67" t="s">
        <v>262</v>
      </c>
      <c r="C125" s="80" t="n">
        <f aca="false">C127/('Income Statement'!C10+'Income Statement'!C11+'Income Statement'!C12+'Income Statement'!C13+'Income Statement'!C14)</f>
        <v>0.0296596607276219</v>
      </c>
      <c r="D125" s="80" t="n">
        <f aca="false">D127/('Income Statement'!D10+'Income Statement'!D11+'Income Statement'!D12+'Income Statement'!D13+'Income Statement'!D14)</f>
        <v>0.0677396353264745</v>
      </c>
      <c r="E125" s="80" t="n">
        <f aca="false">E127/('Income Statement'!E10+'Income Statement'!E11+'Income Statement'!E12+'Income Statement'!E13+'Income Statement'!E14)</f>
        <v>0.0448735382104977</v>
      </c>
      <c r="F125" s="80" t="n">
        <f aca="false">F127/('Income Statement'!F10+'Income Statement'!F11+'Income Statement'!F12+'Income Statement'!F13+'Income Statement'!F14)</f>
        <v>0.0371012129242687</v>
      </c>
      <c r="G125" s="80" t="n">
        <f aca="false">G127/('Income Statement'!G10+'Income Statement'!G11+'Income Statement'!G12+'Income Statement'!G13+'Income Statement'!G14)</f>
        <v>0.0402708481824661</v>
      </c>
      <c r="H125" s="94" t="n">
        <f aca="false">AVERAGE($C125:$G125)</f>
        <v>0.0439289790742658</v>
      </c>
      <c r="I125" s="94" t="n">
        <f aca="false">AVERAGE($C125:$G125)</f>
        <v>0.0439289790742658</v>
      </c>
      <c r="J125" s="94" t="n">
        <f aca="false">AVERAGE($C125:$G125)</f>
        <v>0.0439289790742658</v>
      </c>
      <c r="K125" s="94" t="n">
        <f aca="false">AVERAGE($C125:$G125)</f>
        <v>0.0439289790742658</v>
      </c>
      <c r="L125" s="94" t="n">
        <f aca="false">AVERAGE($C125:$G125)</f>
        <v>0.0439289790742658</v>
      </c>
      <c r="M125" s="94" t="n">
        <f aca="false">AVERAGE($C125:$G125)</f>
        <v>0.0439289790742658</v>
      </c>
      <c r="N125" s="94" t="n">
        <f aca="false">AVERAGE($C125:$G125)</f>
        <v>0.0439289790742658</v>
      </c>
      <c r="O125" s="94" t="n">
        <f aca="false">AVERAGE($C125:$G125)</f>
        <v>0.0439289790742658</v>
      </c>
      <c r="P125" s="94" t="n">
        <f aca="false">AVERAGE($C125:$G125)</f>
        <v>0.0439289790742658</v>
      </c>
      <c r="Q125" s="94" t="n">
        <f aca="false">AVERAGE($C125:$G125)</f>
        <v>0.0439289790742658</v>
      </c>
    </row>
    <row r="126" customFormat="false" ht="15" hidden="false" customHeight="false" outlineLevel="0" collapsed="false">
      <c r="A126" s="67" t="s">
        <v>254</v>
      </c>
      <c r="C126" s="70" t="n">
        <f aca="false">C127-C124</f>
        <v>-379</v>
      </c>
      <c r="D126" s="70" t="n">
        <f aca="false">D127-D124</f>
        <v>387</v>
      </c>
      <c r="E126" s="70" t="n">
        <f aca="false">E127-E124</f>
        <v>-170</v>
      </c>
      <c r="F126" s="70" t="n">
        <f aca="false">F127-F124</f>
        <v>-131</v>
      </c>
      <c r="G126" s="88" t="n">
        <f aca="false">G127-G124</f>
        <v>88</v>
      </c>
      <c r="H126" s="70" t="n">
        <f aca="false">('Income Statement'!I10+'Income Statement'!I11+'Income Statement'!I12+'Income Statement'!I13+'Income Statement'!I14-'Income Statement'!H10-'Income Statement'!H11-'Income Statement'!H12-'Income Statement'!H13-'Income Statement'!H14)*BSsimp!H125</f>
        <v>21.8779446690885</v>
      </c>
      <c r="I126" s="70" t="n">
        <f aca="false">('Income Statement'!J10+'Income Statement'!J11+'Income Statement'!J12+'Income Statement'!J13+'Income Statement'!J14-'Income Statement'!I10-'Income Statement'!I11-'Income Statement'!I12-'Income Statement'!I13-'Income Statement'!I14)*BSsimp!I125</f>
        <v>20.2993530277426</v>
      </c>
      <c r="J126" s="70" t="n">
        <f aca="false">('Income Statement'!K10+'Income Statement'!K11+'Income Statement'!K12+'Income Statement'!K13+'Income Statement'!K14-'Income Statement'!J10-'Income Statement'!J11-'Income Statement'!J12-'Income Statement'!J13-'Income Statement'!J14)*BSsimp!J125</f>
        <v>21.34320480009</v>
      </c>
      <c r="K126" s="70" t="n">
        <f aca="false">('Income Statement'!L10+'Income Statement'!L11+'Income Statement'!L12+'Income Statement'!L13+'Income Statement'!L14-'Income Statement'!K10-'Income Statement'!K11-'Income Statement'!K12-'Income Statement'!K13-'Income Statement'!K14)*BSsimp!K125</f>
        <v>22.4492225396062</v>
      </c>
      <c r="L126" s="70" t="n">
        <f aca="false">('Income Statement'!M10+'Income Statement'!M11+'Income Statement'!M12+'Income Statement'!M13+'Income Statement'!M14-'Income Statement'!L10-'Income Statement'!L11-'Income Statement'!L12-'Income Statement'!L13-'Income Statement'!L14)*BSsimp!L125</f>
        <v>23.6214604193707</v>
      </c>
      <c r="M126" s="70" t="n">
        <f aca="false">('Income Statement'!N10+'Income Statement'!N11+'Income Statement'!N12+'Income Statement'!N13+'Income Statement'!N14-'Income Statement'!M10-'Income Statement'!M11-'Income Statement'!M12-'Income Statement'!M13-'Income Statement'!M14)*BSsimp!M125</f>
        <v>24.8642569002865</v>
      </c>
      <c r="N126" s="70" t="n">
        <f aca="false">('Income Statement'!O10+'Income Statement'!O11+'Income Statement'!O12+'Income Statement'!O13+'Income Statement'!O14-'Income Statement'!N10-'Income Statement'!N11-'Income Statement'!N12-'Income Statement'!N13-'Income Statement'!N14)*BSsimp!N125</f>
        <v>26.1822559448293</v>
      </c>
      <c r="O126" s="70" t="n">
        <f aca="false">('Income Statement'!P10+'Income Statement'!P11+'Income Statement'!P12+'Income Statement'!P13+'Income Statement'!P14-'Income Statement'!O10-'Income Statement'!O11-'Income Statement'!O12-'Income Statement'!O13-'Income Statement'!O14)*BSsimp!O125</f>
        <v>27.5804298958643</v>
      </c>
      <c r="P126" s="70" t="n">
        <f aca="false">('Income Statement'!Q10+'Income Statement'!Q11+'Income Statement'!Q12+'Income Statement'!Q13+'Income Statement'!Q14-'Income Statement'!P10-'Income Statement'!P11-'Income Statement'!P12-'Income Statement'!P13-'Income Statement'!P14)*BSsimp!P125</f>
        <v>29.0641041562779</v>
      </c>
      <c r="Q126" s="70" t="n">
        <f aca="false">('Income Statement'!R10+'Income Statement'!R11+'Income Statement'!R12+'Income Statement'!R13+'Income Statement'!R14-'Income Statement'!Q10-'Income Statement'!Q11-'Income Statement'!Q12-'Income Statement'!Q13-'Income Statement'!Q14)*BSsimp!Q125</f>
        <v>30.6389838165356</v>
      </c>
    </row>
    <row r="127" customFormat="false" ht="15" hidden="false" customHeight="false" outlineLevel="0" collapsed="false">
      <c r="A127" s="67" t="s">
        <v>255</v>
      </c>
      <c r="B127" s="70" t="n">
        <f aca="false">B10</f>
        <v>657</v>
      </c>
      <c r="C127" s="70" t="n">
        <f aca="false">C10</f>
        <v>278</v>
      </c>
      <c r="D127" s="70" t="n">
        <f aca="false">D10</f>
        <v>665</v>
      </c>
      <c r="E127" s="70" t="n">
        <f aca="false">E10</f>
        <v>495</v>
      </c>
      <c r="F127" s="70" t="n">
        <f aca="false">F10</f>
        <v>364</v>
      </c>
      <c r="G127" s="70" t="n">
        <f aca="false">G10</f>
        <v>452</v>
      </c>
      <c r="H127" s="70" t="n">
        <f aca="false">H124+H126</f>
        <v>473.877944669088</v>
      </c>
      <c r="I127" s="70" t="n">
        <f aca="false">I124+I126</f>
        <v>494.177297696831</v>
      </c>
      <c r="J127" s="70" t="n">
        <f aca="false">J124+J126</f>
        <v>515.520502496921</v>
      </c>
      <c r="K127" s="70" t="n">
        <f aca="false">K124+K126</f>
        <v>537.969725036527</v>
      </c>
      <c r="L127" s="70" t="n">
        <f aca="false">L124+L126</f>
        <v>561.591185455898</v>
      </c>
      <c r="M127" s="70" t="n">
        <f aca="false">M124+M126</f>
        <v>586.455442356185</v>
      </c>
      <c r="N127" s="70" t="n">
        <f aca="false">N124+N126</f>
        <v>612.637698301014</v>
      </c>
      <c r="O127" s="70" t="n">
        <f aca="false">O124+O126</f>
        <v>640.218128196878</v>
      </c>
      <c r="P127" s="70" t="n">
        <f aca="false">P124+P126</f>
        <v>669.282232353156</v>
      </c>
      <c r="Q127" s="70" t="n">
        <f aca="false">Q124+Q126</f>
        <v>699.921216169692</v>
      </c>
    </row>
    <row r="128" customFormat="false" ht="15" hidden="false" customHeight="false" outlineLevel="0" collapsed="false">
      <c r="G128" s="0"/>
    </row>
    <row r="129" customFormat="false" ht="15" hidden="false" customHeight="false" outlineLevel="0" collapsed="false">
      <c r="G129" s="0"/>
    </row>
    <row r="130" customFormat="false" ht="15" hidden="false" customHeight="false" outlineLevel="0" collapsed="false">
      <c r="A130" s="67" t="s">
        <v>263</v>
      </c>
      <c r="G130" s="0"/>
    </row>
    <row r="131" customFormat="false" ht="15" hidden="false" customHeight="false" outlineLevel="0" collapsed="false">
      <c r="A131" s="67" t="s">
        <v>252</v>
      </c>
      <c r="C131" s="70" t="n">
        <f aca="false">B134</f>
        <v>402</v>
      </c>
      <c r="D131" s="70" t="n">
        <f aca="false">C134</f>
        <v>560</v>
      </c>
      <c r="E131" s="70" t="n">
        <f aca="false">D134</f>
        <v>573</v>
      </c>
      <c r="F131" s="70" t="n">
        <f aca="false">E134</f>
        <v>651</v>
      </c>
      <c r="G131" s="88" t="n">
        <f aca="false">F134</f>
        <v>811</v>
      </c>
      <c r="H131" s="70" t="n">
        <f aca="false">G134</f>
        <v>815</v>
      </c>
      <c r="I131" s="70" t="n">
        <f aca="false">H134</f>
        <v>832.628301631264</v>
      </c>
      <c r="J131" s="70" t="n">
        <f aca="false">I134</f>
        <v>851.102186558444</v>
      </c>
      <c r="K131" s="70" t="n">
        <f aca="false">J134</f>
        <v>870.483575007638</v>
      </c>
      <c r="L131" s="70" t="n">
        <f aca="false">K134</f>
        <v>890.839583672464</v>
      </c>
      <c r="M131" s="70" t="n">
        <f aca="false">L134</f>
        <v>912.242976400319</v>
      </c>
      <c r="N131" s="70" t="n">
        <f aca="false">M134</f>
        <v>934.772654288047</v>
      </c>
      <c r="O131" s="70" t="n">
        <f aca="false">N134</f>
        <v>958.514188641365</v>
      </c>
      <c r="P131" s="70" t="n">
        <f aca="false">O134</f>
        <v>983.56040055542</v>
      </c>
      <c r="Q131" s="70" t="n">
        <f aca="false">P134</f>
        <v>1010.01199120346</v>
      </c>
    </row>
    <row r="132" customFormat="false" ht="15" hidden="false" customHeight="false" outlineLevel="0" collapsed="false">
      <c r="A132" s="67" t="s">
        <v>259</v>
      </c>
      <c r="C132" s="80" t="n">
        <f aca="false">C134/('Income Statement'!D8)</f>
        <v>0.0327734535026628</v>
      </c>
      <c r="D132" s="80" t="n">
        <f aca="false">D134/('Income Statement'!E8)</f>
        <v>0.0310283207884334</v>
      </c>
      <c r="E132" s="80" t="n">
        <f aca="false">E134/('Income Statement'!F8)</f>
        <v>0.0372233975641832</v>
      </c>
      <c r="F132" s="80" t="n">
        <f aca="false">F134/('Income Statement'!G8)</f>
        <v>0.040761962203458</v>
      </c>
      <c r="G132" s="80" t="n">
        <f aca="false">G134/('Income Statement'!H8)</f>
        <v>0.0353870869697364</v>
      </c>
      <c r="H132" s="94" t="n">
        <f aca="false">AVERAGE($C132:$G132)</f>
        <v>0.0354348442056948</v>
      </c>
      <c r="I132" s="94" t="n">
        <f aca="false">AVERAGE($C132:$G132)</f>
        <v>0.0354348442056948</v>
      </c>
      <c r="J132" s="94" t="n">
        <f aca="false">AVERAGE($C132:$G132)</f>
        <v>0.0354348442056948</v>
      </c>
      <c r="K132" s="94" t="n">
        <f aca="false">AVERAGE($C132:$G132)</f>
        <v>0.0354348442056948</v>
      </c>
      <c r="L132" s="94" t="n">
        <f aca="false">AVERAGE($C132:$G132)</f>
        <v>0.0354348442056948</v>
      </c>
      <c r="M132" s="94" t="n">
        <f aca="false">AVERAGE($C132:$G132)</f>
        <v>0.0354348442056948</v>
      </c>
      <c r="N132" s="94" t="n">
        <f aca="false">AVERAGE($C132:$G132)</f>
        <v>0.0354348442056948</v>
      </c>
      <c r="O132" s="94" t="n">
        <f aca="false">AVERAGE($C132:$G132)</f>
        <v>0.0354348442056948</v>
      </c>
      <c r="P132" s="94" t="n">
        <f aca="false">AVERAGE($C132:$G132)</f>
        <v>0.0354348442056948</v>
      </c>
      <c r="Q132" s="94" t="n">
        <f aca="false">AVERAGE($C132:$G132)</f>
        <v>0.0354348442056948</v>
      </c>
    </row>
    <row r="133" customFormat="false" ht="15" hidden="false" customHeight="false" outlineLevel="0" collapsed="false">
      <c r="A133" s="67" t="s">
        <v>254</v>
      </c>
      <c r="C133" s="70" t="n">
        <f aca="false">C134-C131</f>
        <v>158</v>
      </c>
      <c r="D133" s="70" t="n">
        <f aca="false">D134-D131</f>
        <v>13</v>
      </c>
      <c r="E133" s="70" t="n">
        <f aca="false">E134-E131</f>
        <v>78</v>
      </c>
      <c r="F133" s="70" t="n">
        <f aca="false">F134-F131</f>
        <v>160</v>
      </c>
      <c r="G133" s="88" t="n">
        <f aca="false">G134-G131</f>
        <v>4</v>
      </c>
      <c r="H133" s="70" t="n">
        <f aca="false">('Income Statement'!I$8-'Income Statement'!H$8)*BSsimp!H132</f>
        <v>17.6283016312634</v>
      </c>
      <c r="I133" s="70" t="n">
        <f aca="false">('Income Statement'!J$8-'Income Statement'!I$8)*BSsimp!I132</f>
        <v>18.4738849271806</v>
      </c>
      <c r="J133" s="70" t="n">
        <f aca="false">('Income Statement'!K$8-'Income Statement'!J$8)*BSsimp!J132</f>
        <v>19.381388449194</v>
      </c>
      <c r="K133" s="70" t="n">
        <f aca="false">('Income Statement'!L$8-'Income Statement'!K$8)*BSsimp!K132</f>
        <v>20.3560086648262</v>
      </c>
      <c r="L133" s="70" t="n">
        <f aca="false">('Income Statement'!M$8-'Income Statement'!L$8)*BSsimp!L132</f>
        <v>21.4033927278547</v>
      </c>
      <c r="M133" s="70" t="n">
        <f aca="false">('Income Statement'!N$8-'Income Statement'!M$8)*BSsimp!M132</f>
        <v>22.5296778877277</v>
      </c>
      <c r="N133" s="70" t="n">
        <f aca="false">('Income Statement'!O$8-'Income Statement'!N$8)*BSsimp!N132</f>
        <v>23.7415343533185</v>
      </c>
      <c r="O133" s="70" t="n">
        <f aca="false">('Income Statement'!P$8-'Income Statement'!O$8)*BSsimp!O132</f>
        <v>25.0462119140544</v>
      </c>
      <c r="P133" s="70" t="n">
        <f aca="false">('Income Statement'!Q$8-'Income Statement'!P$8)*BSsimp!P132</f>
        <v>26.4515906480449</v>
      </c>
      <c r="Q133" s="70" t="n">
        <f aca="false">('Income Statement'!R$8-'Income Statement'!Q$8)*BSsimp!Q132</f>
        <v>27.9662360757608</v>
      </c>
    </row>
    <row r="134" customFormat="false" ht="15" hidden="false" customHeight="false" outlineLevel="0" collapsed="false">
      <c r="A134" s="67" t="s">
        <v>255</v>
      </c>
      <c r="B134" s="70" t="n">
        <f aca="false">B11</f>
        <v>402</v>
      </c>
      <c r="C134" s="70" t="n">
        <f aca="false">C11</f>
        <v>560</v>
      </c>
      <c r="D134" s="70" t="n">
        <f aca="false">D11</f>
        <v>573</v>
      </c>
      <c r="E134" s="70" t="n">
        <f aca="false">E11</f>
        <v>651</v>
      </c>
      <c r="F134" s="70" t="n">
        <f aca="false">F11</f>
        <v>811</v>
      </c>
      <c r="G134" s="70" t="n">
        <f aca="false">G11</f>
        <v>815</v>
      </c>
      <c r="H134" s="70" t="n">
        <f aca="false">H131+H133</f>
        <v>832.628301631264</v>
      </c>
      <c r="I134" s="70" t="n">
        <f aca="false">I131+I133</f>
        <v>851.102186558444</v>
      </c>
      <c r="J134" s="70" t="n">
        <f aca="false">J131+J133</f>
        <v>870.483575007638</v>
      </c>
      <c r="K134" s="70" t="n">
        <f aca="false">K131+K133</f>
        <v>890.839583672464</v>
      </c>
      <c r="L134" s="70" t="n">
        <f aca="false">L131+L133</f>
        <v>912.242976400319</v>
      </c>
      <c r="M134" s="70" t="n">
        <f aca="false">M131+M133</f>
        <v>934.772654288047</v>
      </c>
      <c r="N134" s="70" t="n">
        <f aca="false">N131+N133</f>
        <v>958.514188641365</v>
      </c>
      <c r="O134" s="70" t="n">
        <f aca="false">O131+O133</f>
        <v>983.56040055542</v>
      </c>
      <c r="P134" s="70" t="n">
        <f aca="false">P131+P133</f>
        <v>1010.01199120346</v>
      </c>
      <c r="Q134" s="70" t="n">
        <f aca="false">Q131+Q133</f>
        <v>1037.97822727923</v>
      </c>
    </row>
    <row r="135" customFormat="false" ht="15" hidden="false" customHeight="false" outlineLevel="0" collapsed="false">
      <c r="G135" s="0"/>
    </row>
    <row r="136" customFormat="false" ht="15" hidden="false" customHeight="false" outlineLevel="0" collapsed="false">
      <c r="G136" s="0"/>
    </row>
    <row r="137" customFormat="false" ht="15" hidden="false" customHeight="false" outlineLevel="0" collapsed="false">
      <c r="A137" s="67" t="s">
        <v>264</v>
      </c>
      <c r="G137" s="0"/>
    </row>
    <row r="138" customFormat="false" ht="15" hidden="false" customHeight="false" outlineLevel="0" collapsed="false">
      <c r="A138" s="67" t="s">
        <v>252</v>
      </c>
      <c r="C138" s="70" t="n">
        <f aca="false">B141</f>
        <v>21964</v>
      </c>
      <c r="D138" s="70" t="n">
        <f aca="false">C141</f>
        <v>23059</v>
      </c>
      <c r="E138" s="70" t="n">
        <f aca="false">D141</f>
        <v>24059</v>
      </c>
      <c r="F138" s="70" t="n">
        <f aca="false">E141</f>
        <v>25200.12</v>
      </c>
      <c r="G138" s="88" t="n">
        <f aca="false">F141</f>
        <v>24666.4704</v>
      </c>
      <c r="H138" s="70" t="n">
        <f aca="false">G141</f>
        <v>26146.458624</v>
      </c>
      <c r="I138" s="70" t="n">
        <f aca="false">H141</f>
        <v>28904.6826748936</v>
      </c>
      <c r="J138" s="70" t="n">
        <f aca="false">I141</f>
        <v>30561.3505181308</v>
      </c>
      <c r="K138" s="70" t="n">
        <f aca="false">J141</f>
        <v>32312.9700470062</v>
      </c>
      <c r="L138" s="70" t="n">
        <f aca="false">K141</f>
        <v>34164.9834040966</v>
      </c>
      <c r="M138" s="70" t="n">
        <f aca="false">L141</f>
        <v>36123.1446476193</v>
      </c>
      <c r="N138" s="70" t="n">
        <f aca="false">M141</f>
        <v>38193.5376288333</v>
      </c>
      <c r="O138" s="70" t="n">
        <f aca="false">N141</f>
        <v>40382.5948940811</v>
      </c>
      <c r="P138" s="70" t="n">
        <f aca="false">O141</f>
        <v>42697.117670199</v>
      </c>
      <c r="Q138" s="70" t="n">
        <f aca="false">P141</f>
        <v>45144.2969953875</v>
      </c>
    </row>
    <row r="139" customFormat="false" ht="15" hidden="false" customHeight="false" outlineLevel="0" collapsed="false">
      <c r="A139" s="67" t="s">
        <v>265</v>
      </c>
      <c r="C139" s="80" t="n">
        <f aca="false">C141/C14</f>
        <v>0.349267657260569</v>
      </c>
      <c r="D139" s="80" t="n">
        <f aca="false">D141/D14</f>
        <v>0.343636181851942</v>
      </c>
      <c r="E139" s="80" t="n">
        <f aca="false">E141/E14</f>
        <v>0.34</v>
      </c>
      <c r="F139" s="80" t="n">
        <f aca="false">F141/F14</f>
        <v>0.32</v>
      </c>
      <c r="G139" s="80" t="n">
        <f aca="false">G141/G14</f>
        <v>0.32</v>
      </c>
      <c r="H139" s="94" t="n">
        <f aca="false">AVERAGE($C139:$G139)</f>
        <v>0.334580767822502</v>
      </c>
      <c r="I139" s="94" t="n">
        <f aca="false">AVERAGE($C139:$G139)</f>
        <v>0.334580767822502</v>
      </c>
      <c r="J139" s="94" t="n">
        <f aca="false">AVERAGE($C139:$G139)</f>
        <v>0.334580767822502</v>
      </c>
      <c r="K139" s="94" t="n">
        <f aca="false">AVERAGE($C139:$G139)</f>
        <v>0.334580767822502</v>
      </c>
      <c r="L139" s="94" t="n">
        <f aca="false">AVERAGE($C139:$G139)</f>
        <v>0.334580767822502</v>
      </c>
      <c r="M139" s="94" t="n">
        <f aca="false">AVERAGE($C139:$G139)</f>
        <v>0.334580767822502</v>
      </c>
      <c r="N139" s="94" t="n">
        <f aca="false">AVERAGE($C139:$G139)</f>
        <v>0.334580767822502</v>
      </c>
      <c r="O139" s="94" t="n">
        <f aca="false">AVERAGE($C139:$G139)</f>
        <v>0.334580767822502</v>
      </c>
      <c r="P139" s="94" t="n">
        <f aca="false">AVERAGE($C139:$G139)</f>
        <v>0.334580767822502</v>
      </c>
      <c r="Q139" s="94" t="n">
        <f aca="false">AVERAGE($C139:$G139)</f>
        <v>0.334580767822502</v>
      </c>
    </row>
    <row r="140" customFormat="false" ht="15" hidden="false" customHeight="false" outlineLevel="0" collapsed="false">
      <c r="A140" s="67" t="s">
        <v>254</v>
      </c>
      <c r="C140" s="70" t="n">
        <f aca="false">C141-C138</f>
        <v>1095</v>
      </c>
      <c r="D140" s="70" t="n">
        <f aca="false">D141-D138</f>
        <v>1000</v>
      </c>
      <c r="E140" s="70" t="n">
        <f aca="false">E141-E138</f>
        <v>1141.12</v>
      </c>
      <c r="F140" s="70" t="n">
        <f aca="false">F141-F138</f>
        <v>-533.649600000001</v>
      </c>
      <c r="G140" s="88" t="n">
        <f aca="false">G141-G138</f>
        <v>1479.988224</v>
      </c>
      <c r="H140" s="70" t="n">
        <f aca="false">H139*H14-H138</f>
        <v>2758.22405089363</v>
      </c>
      <c r="I140" s="70" t="n">
        <f aca="false">I139*I14-I138</f>
        <v>1656.66784323721</v>
      </c>
      <c r="J140" s="70" t="n">
        <f aca="false">J139*J14-J138</f>
        <v>1751.61952887534</v>
      </c>
      <c r="K140" s="70" t="n">
        <f aca="false">K139*K14-K138</f>
        <v>1852.0133570904</v>
      </c>
      <c r="L140" s="70" t="n">
        <f aca="false">L139*L14-L138</f>
        <v>1958.16124352274</v>
      </c>
      <c r="M140" s="70" t="n">
        <f aca="false">M139*M14-M138</f>
        <v>2070.39298121399</v>
      </c>
      <c r="N140" s="70" t="n">
        <f aca="false">N139*N14-N138</f>
        <v>2189.05726524782</v>
      </c>
      <c r="O140" s="70" t="n">
        <f aca="false">O139*O14-O138</f>
        <v>2314.52277611782</v>
      </c>
      <c r="P140" s="70" t="n">
        <f aca="false">P139*P14-P138</f>
        <v>2447.17932518851</v>
      </c>
      <c r="Q140" s="70" t="n">
        <f aca="false">Q139*Q14-Q138</f>
        <v>2587.43906580818</v>
      </c>
    </row>
    <row r="141" customFormat="false" ht="15" hidden="false" customHeight="false" outlineLevel="0" collapsed="false">
      <c r="A141" s="67" t="s">
        <v>255</v>
      </c>
      <c r="B141" s="70" t="n">
        <f aca="false">B15</f>
        <v>21964</v>
      </c>
      <c r="C141" s="70" t="n">
        <f aca="false">C15</f>
        <v>23059</v>
      </c>
      <c r="D141" s="70" t="n">
        <f aca="false">D15</f>
        <v>24059</v>
      </c>
      <c r="E141" s="70" t="n">
        <f aca="false">E15</f>
        <v>25200.12</v>
      </c>
      <c r="F141" s="70" t="n">
        <f aca="false">F15</f>
        <v>24666.4704</v>
      </c>
      <c r="G141" s="70" t="n">
        <f aca="false">G15</f>
        <v>26146.458624</v>
      </c>
      <c r="H141" s="70" t="n">
        <f aca="false">H138+H140</f>
        <v>28904.6826748936</v>
      </c>
      <c r="I141" s="70" t="n">
        <f aca="false">I138+I140</f>
        <v>30561.3505181308</v>
      </c>
      <c r="J141" s="70" t="n">
        <f aca="false">J138+J140</f>
        <v>32312.9700470062</v>
      </c>
      <c r="K141" s="70" t="n">
        <f aca="false">K138+K140</f>
        <v>34164.9834040966</v>
      </c>
      <c r="L141" s="70" t="n">
        <f aca="false">L138+L140</f>
        <v>36123.1446476193</v>
      </c>
      <c r="M141" s="70" t="n">
        <f aca="false">M138+M140</f>
        <v>38193.5376288333</v>
      </c>
      <c r="N141" s="70" t="n">
        <f aca="false">N138+N140</f>
        <v>40382.5948940811</v>
      </c>
      <c r="O141" s="70" t="n">
        <f aca="false">O138+O140</f>
        <v>42697.117670199</v>
      </c>
      <c r="P141" s="70" t="n">
        <f aca="false">P138+P140</f>
        <v>45144.2969953875</v>
      </c>
      <c r="Q141" s="70" t="n">
        <f aca="false">Q138+Q140</f>
        <v>47731.7360611956</v>
      </c>
    </row>
    <row r="142" customFormat="false" ht="15" hidden="false" customHeight="false" outlineLevel="0" collapsed="false">
      <c r="G142" s="0"/>
    </row>
    <row r="143" customFormat="false" ht="15" hidden="false" customHeight="false" outlineLevel="0" collapsed="false">
      <c r="G143" s="0"/>
    </row>
    <row r="144" customFormat="false" ht="15" hidden="false" customHeight="false" outlineLevel="0" collapsed="false">
      <c r="A144" s="67" t="s">
        <v>266</v>
      </c>
      <c r="G144" s="0"/>
    </row>
    <row r="145" customFormat="false" ht="15" hidden="false" customHeight="false" outlineLevel="0" collapsed="false">
      <c r="A145" s="67" t="s">
        <v>252</v>
      </c>
      <c r="C145" s="70" t="n">
        <f aca="false">B147</f>
        <v>1303</v>
      </c>
      <c r="D145" s="70" t="n">
        <f aca="false">C147</f>
        <v>1465</v>
      </c>
      <c r="E145" s="70" t="n">
        <f aca="false">D147</f>
        <v>1546</v>
      </c>
      <c r="F145" s="70" t="n">
        <f aca="false">E147</f>
        <v>1512</v>
      </c>
      <c r="G145" s="88" t="n">
        <f aca="false">F147</f>
        <v>1606</v>
      </c>
      <c r="H145" s="70" t="n">
        <f aca="false">G147</f>
        <v>1832</v>
      </c>
      <c r="I145" s="70" t="n">
        <f aca="false">H147</f>
        <v>1937.8</v>
      </c>
      <c r="J145" s="70" t="n">
        <f aca="false">I147</f>
        <v>2043.6</v>
      </c>
      <c r="K145" s="70" t="n">
        <f aca="false">J147</f>
        <v>2149.4</v>
      </c>
      <c r="L145" s="70" t="n">
        <f aca="false">K147</f>
        <v>2255.2</v>
      </c>
      <c r="M145" s="70" t="n">
        <f aca="false">L147</f>
        <v>2361</v>
      </c>
      <c r="N145" s="70" t="n">
        <f aca="false">M147</f>
        <v>2466.8</v>
      </c>
      <c r="O145" s="70" t="n">
        <f aca="false">N147</f>
        <v>2572.6</v>
      </c>
      <c r="P145" s="70" t="n">
        <f aca="false">O147</f>
        <v>2678.4</v>
      </c>
      <c r="Q145" s="70" t="n">
        <f aca="false">P147</f>
        <v>2784.2</v>
      </c>
    </row>
    <row r="146" customFormat="false" ht="15" hidden="false" customHeight="false" outlineLevel="0" collapsed="false">
      <c r="A146" s="67" t="s">
        <v>267</v>
      </c>
      <c r="C146" s="70" t="n">
        <f aca="false">C147-C145</f>
        <v>162</v>
      </c>
      <c r="D146" s="70" t="n">
        <f aca="false">D147-D145</f>
        <v>81</v>
      </c>
      <c r="E146" s="70" t="n">
        <f aca="false">E147-E145</f>
        <v>-34</v>
      </c>
      <c r="F146" s="70" t="n">
        <f aca="false">F147-F145</f>
        <v>94</v>
      </c>
      <c r="G146" s="88" t="n">
        <f aca="false">G147-G145</f>
        <v>226</v>
      </c>
      <c r="H146" s="70" t="n">
        <f aca="false">AVERAGE($C$146:$G$146)</f>
        <v>105.8</v>
      </c>
      <c r="I146" s="70" t="n">
        <f aca="false">AVERAGE($C$146:$G$146)</f>
        <v>105.8</v>
      </c>
      <c r="J146" s="70" t="n">
        <f aca="false">AVERAGE($C$146:$G$146)</f>
        <v>105.8</v>
      </c>
      <c r="K146" s="70" t="n">
        <f aca="false">AVERAGE($C$146:$G$146)</f>
        <v>105.8</v>
      </c>
      <c r="L146" s="70" t="n">
        <f aca="false">AVERAGE($C$146:$G$146)</f>
        <v>105.8</v>
      </c>
      <c r="M146" s="70" t="n">
        <f aca="false">AVERAGE($C$146:$G$146)</f>
        <v>105.8</v>
      </c>
      <c r="N146" s="70" t="n">
        <f aca="false">AVERAGE($C$146:$G$146)</f>
        <v>105.8</v>
      </c>
      <c r="O146" s="70" t="n">
        <f aca="false">AVERAGE($C$146:$G$146)</f>
        <v>105.8</v>
      </c>
      <c r="P146" s="70" t="n">
        <f aca="false">AVERAGE($C$146:$G$146)</f>
        <v>105.8</v>
      </c>
      <c r="Q146" s="70" t="n">
        <f aca="false">AVERAGE($C$146:$G$146)</f>
        <v>105.8</v>
      </c>
    </row>
    <row r="147" customFormat="false" ht="15" hidden="false" customHeight="false" outlineLevel="0" collapsed="false">
      <c r="A147" s="67" t="s">
        <v>255</v>
      </c>
      <c r="B147" s="70" t="n">
        <f aca="false">B25</f>
        <v>1303</v>
      </c>
      <c r="C147" s="70" t="n">
        <f aca="false">C25</f>
        <v>1465</v>
      </c>
      <c r="D147" s="70" t="n">
        <f aca="false">D25</f>
        <v>1546</v>
      </c>
      <c r="E147" s="70" t="n">
        <f aca="false">E25</f>
        <v>1512</v>
      </c>
      <c r="F147" s="70" t="n">
        <f aca="false">F25</f>
        <v>1606</v>
      </c>
      <c r="G147" s="70" t="n">
        <f aca="false">G25</f>
        <v>1832</v>
      </c>
      <c r="H147" s="70" t="n">
        <f aca="false">H145+H146</f>
        <v>1937.8</v>
      </c>
      <c r="I147" s="70" t="n">
        <f aca="false">I145+I146</f>
        <v>2043.6</v>
      </c>
      <c r="J147" s="70" t="n">
        <f aca="false">J145+J146</f>
        <v>2149.4</v>
      </c>
      <c r="K147" s="70" t="n">
        <f aca="false">K145+K146</f>
        <v>2255.2</v>
      </c>
      <c r="L147" s="70" t="n">
        <f aca="false">L145+L146</f>
        <v>2361</v>
      </c>
      <c r="M147" s="70" t="n">
        <f aca="false">M145+M146</f>
        <v>2466.8</v>
      </c>
      <c r="N147" s="70" t="n">
        <f aca="false">N145+N146</f>
        <v>2572.6</v>
      </c>
      <c r="O147" s="70" t="n">
        <f aca="false">O145+O146</f>
        <v>2678.4</v>
      </c>
      <c r="P147" s="70" t="n">
        <f aca="false">P145+P146</f>
        <v>2784.2</v>
      </c>
      <c r="Q147" s="70" t="n">
        <f aca="false">Q145+Q146</f>
        <v>2890</v>
      </c>
    </row>
    <row r="148" customFormat="false" ht="15" hidden="false" customHeight="false" outlineLevel="0" collapsed="false">
      <c r="G148" s="0"/>
    </row>
    <row r="149" customFormat="false" ht="15" hidden="false" customHeight="false" outlineLevel="0" collapsed="false">
      <c r="G149" s="0"/>
    </row>
    <row r="150" customFormat="false" ht="15" hidden="false" customHeight="false" outlineLevel="0" collapsed="false">
      <c r="A150" s="67" t="s">
        <v>198</v>
      </c>
      <c r="G150" s="0"/>
    </row>
    <row r="151" customFormat="false" ht="15" hidden="false" customHeight="false" outlineLevel="0" collapsed="false">
      <c r="A151" s="67" t="s">
        <v>252</v>
      </c>
      <c r="C151" s="70" t="n">
        <f aca="false">B154</f>
        <v>670</v>
      </c>
      <c r="D151" s="70" t="n">
        <f aca="false">C154</f>
        <v>665</v>
      </c>
      <c r="E151" s="70" t="n">
        <f aca="false">D154</f>
        <v>743</v>
      </c>
      <c r="F151" s="70" t="n">
        <f aca="false">E154</f>
        <v>755</v>
      </c>
      <c r="G151" s="88" t="n">
        <f aca="false">F154</f>
        <v>774</v>
      </c>
      <c r="H151" s="70" t="n">
        <f aca="false">G154</f>
        <v>775</v>
      </c>
      <c r="I151" s="70" t="n">
        <f aca="false">H154</f>
        <v>815.37276523224</v>
      </c>
      <c r="J151" s="70" t="n">
        <f aca="false">I154</f>
        <v>848.074191690754</v>
      </c>
      <c r="K151" s="70" t="n">
        <f aca="false">J154</f>
        <v>882.45722060824</v>
      </c>
      <c r="L151" s="70" t="n">
        <f aca="false">K154</f>
        <v>918.621998812078</v>
      </c>
      <c r="M151" s="70" t="n">
        <f aca="false">L154</f>
        <v>956.67520423646</v>
      </c>
      <c r="N151" s="70" t="n">
        <f aca="false">M154</f>
        <v>996.730503898427</v>
      </c>
      <c r="O151" s="70" t="n">
        <f aca="false">N154</f>
        <v>1038.9090460484</v>
      </c>
      <c r="P151" s="70" t="n">
        <f aca="false">O154</f>
        <v>1083.33998917753</v>
      </c>
      <c r="Q151" s="70" t="n">
        <f aca="false">P154</f>
        <v>1130.16107078295</v>
      </c>
    </row>
    <row r="152" customFormat="false" ht="15" hidden="false" customHeight="false" outlineLevel="0" collapsed="false">
      <c r="A152" s="67" t="s">
        <v>268</v>
      </c>
      <c r="C152" s="80" t="n">
        <f aca="false">C154/('Income Statement'!D10+'Income Statement'!D11+'Income Statement'!D13+'Income Statement'!D14)</f>
        <v>0.0677396353264745</v>
      </c>
      <c r="D152" s="80" t="n">
        <f aca="false">D154/('Income Statement'!E10+'Income Statement'!E11+'Income Statement'!E13+'Income Statement'!E14)</f>
        <v>0.0673556341220198</v>
      </c>
      <c r="E152" s="80" t="n">
        <f aca="false">E154/('Income Statement'!F10+'Income Statement'!F11+'Income Statement'!F13+'Income Statement'!F14)</f>
        <v>0.0769544388951177</v>
      </c>
      <c r="F152" s="80" t="n">
        <f aca="false">F154/('Income Statement'!G10+'Income Statement'!G11+'Income Statement'!G13+'Income Statement'!G14)</f>
        <v>0.0729431721798134</v>
      </c>
      <c r="G152" s="80" t="n">
        <f aca="false">G154/('Income Statement'!H10+'Income Statement'!H11+'Income Statement'!H13+'Income Statement'!H14)</f>
        <v>0.0688460513458293</v>
      </c>
      <c r="H152" s="94" t="n">
        <f aca="false">AVERAGE($C152:$G152)</f>
        <v>0.0707677863738509</v>
      </c>
      <c r="I152" s="94" t="n">
        <f aca="false">AVERAGE($C152:$G152)</f>
        <v>0.0707677863738509</v>
      </c>
      <c r="J152" s="94" t="n">
        <f aca="false">AVERAGE($C152:$G152)</f>
        <v>0.0707677863738509</v>
      </c>
      <c r="K152" s="94" t="n">
        <f aca="false">AVERAGE($C152:$G152)</f>
        <v>0.0707677863738509</v>
      </c>
      <c r="L152" s="94" t="n">
        <f aca="false">AVERAGE($C152:$G152)</f>
        <v>0.0707677863738509</v>
      </c>
      <c r="M152" s="94" t="n">
        <f aca="false">AVERAGE($C152:$G152)</f>
        <v>0.0707677863738509</v>
      </c>
      <c r="N152" s="94" t="n">
        <f aca="false">AVERAGE($C152:$G152)</f>
        <v>0.0707677863738509</v>
      </c>
      <c r="O152" s="94" t="n">
        <f aca="false">AVERAGE($C152:$G152)</f>
        <v>0.0707677863738509</v>
      </c>
      <c r="P152" s="94" t="n">
        <f aca="false">AVERAGE($C152:$G152)</f>
        <v>0.0707677863738509</v>
      </c>
      <c r="Q152" s="94" t="n">
        <f aca="false">AVERAGE($C152:$G152)</f>
        <v>0.0707677863738509</v>
      </c>
    </row>
    <row r="153" customFormat="false" ht="15" hidden="false" customHeight="false" outlineLevel="0" collapsed="false">
      <c r="A153" s="67" t="s">
        <v>254</v>
      </c>
      <c r="C153" s="70" t="n">
        <f aca="false">C154-C151</f>
        <v>-5</v>
      </c>
      <c r="D153" s="70" t="n">
        <f aca="false">D154-D151</f>
        <v>78</v>
      </c>
      <c r="E153" s="70" t="n">
        <f aca="false">E154-E151</f>
        <v>12</v>
      </c>
      <c r="F153" s="70" t="n">
        <f aca="false">F154-F151</f>
        <v>19</v>
      </c>
      <c r="G153" s="88" t="n">
        <f aca="false">G154-G151</f>
        <v>1</v>
      </c>
      <c r="H153" s="70" t="n">
        <f aca="false">('Income Statement'!I10+'Income Statement'!I11+'Income Statement'!I13+'Income Statement'!I14-'Income Statement'!H10-'Income Statement'!H11-'Income Statement'!H13-'Income Statement'!H14)*BSsimp!H152</f>
        <v>40.37276523224</v>
      </c>
      <c r="I153" s="70" t="n">
        <f aca="false">('Income Statement'!J10+'Income Statement'!J11+'Income Statement'!J13+'Income Statement'!J14-'Income Statement'!I10-'Income Statement'!I11-'Income Statement'!I13-'Income Statement'!I14)*BSsimp!I152</f>
        <v>32.7014264585134</v>
      </c>
      <c r="J153" s="70" t="n">
        <f aca="false">('Income Statement'!K10+'Income Statement'!K11+'Income Statement'!K13+'Income Statement'!K14-'Income Statement'!J10-'Income Statement'!J11-'Income Statement'!J13-'Income Statement'!J14)*BSsimp!J152</f>
        <v>34.383028917486</v>
      </c>
      <c r="K153" s="70" t="n">
        <f aca="false">('Income Statement'!L10+'Income Statement'!L11+'Income Statement'!L13+'Income Statement'!L14-'Income Statement'!K10-'Income Statement'!K11-'Income Statement'!K13-'Income Statement'!K14)*BSsimp!K152</f>
        <v>36.1647782038388</v>
      </c>
      <c r="L153" s="70" t="n">
        <f aca="false">('Income Statement'!M10+'Income Statement'!M11+'Income Statement'!M13+'Income Statement'!M14-'Income Statement'!L10-'Income Statement'!L11-'Income Statement'!L13-'Income Statement'!L14)*BSsimp!L152</f>
        <v>38.0532054243816</v>
      </c>
      <c r="M153" s="70" t="n">
        <f aca="false">('Income Statement'!N10+'Income Statement'!N11+'Income Statement'!N13+'Income Statement'!N14-'Income Statement'!M10-'Income Statement'!M11-'Income Statement'!M13-'Income Statement'!M14)*BSsimp!M152</f>
        <v>40.0552996619674</v>
      </c>
      <c r="N153" s="70" t="n">
        <f aca="false">('Income Statement'!O10+'Income Statement'!O11+'Income Statement'!O13+'Income Statement'!O14-'Income Statement'!N10-'Income Statement'!N11-'Income Statement'!N13-'Income Statement'!N14)*BSsimp!N152</f>
        <v>42.1785421499721</v>
      </c>
      <c r="O153" s="70" t="n">
        <f aca="false">('Income Statement'!P10+'Income Statement'!P11+'Income Statement'!P13+'Income Statement'!P14-'Income Statement'!O10-'Income Statement'!O11-'Income Statement'!O13-'Income Statement'!O14)*BSsimp!O152</f>
        <v>44.4309431291311</v>
      </c>
      <c r="P153" s="70" t="n">
        <f aca="false">('Income Statement'!Q10+'Income Statement'!Q11+'Income Statement'!Q13+'Income Statement'!Q14-'Income Statement'!P10-'Income Statement'!P11-'Income Statement'!P13-'Income Statement'!P14)*BSsimp!P152</f>
        <v>46.8210816054164</v>
      </c>
      <c r="Q153" s="70" t="n">
        <f aca="false">('Income Statement'!R10+'Income Statement'!R11+'Income Statement'!R13+'Income Statement'!R14-'Income Statement'!Q10-'Income Statement'!Q11-'Income Statement'!Q13-'Income Statement'!Q14)*BSsimp!Q152</f>
        <v>49.3581482459416</v>
      </c>
    </row>
    <row r="154" customFormat="false" ht="15" hidden="false" customHeight="false" outlineLevel="0" collapsed="false">
      <c r="A154" s="67" t="s">
        <v>255</v>
      </c>
      <c r="B154" s="70" t="n">
        <f aca="false">B26</f>
        <v>670</v>
      </c>
      <c r="C154" s="70" t="n">
        <f aca="false">C26</f>
        <v>665</v>
      </c>
      <c r="D154" s="70" t="n">
        <f aca="false">D26</f>
        <v>743</v>
      </c>
      <c r="E154" s="70" t="n">
        <f aca="false">E26</f>
        <v>755</v>
      </c>
      <c r="F154" s="70" t="n">
        <f aca="false">F26</f>
        <v>774</v>
      </c>
      <c r="G154" s="70" t="n">
        <f aca="false">G26</f>
        <v>775</v>
      </c>
      <c r="H154" s="70" t="n">
        <f aca="false">H151+H153</f>
        <v>815.37276523224</v>
      </c>
      <c r="I154" s="70" t="n">
        <f aca="false">I151+I153</f>
        <v>848.074191690754</v>
      </c>
      <c r="J154" s="70" t="n">
        <f aca="false">J151+J153</f>
        <v>882.45722060824</v>
      </c>
      <c r="K154" s="70" t="n">
        <f aca="false">K151+K153</f>
        <v>918.621998812078</v>
      </c>
      <c r="L154" s="70" t="n">
        <f aca="false">L151+L153</f>
        <v>956.67520423646</v>
      </c>
      <c r="M154" s="70" t="n">
        <f aca="false">M151+M153</f>
        <v>996.730503898427</v>
      </c>
      <c r="N154" s="70" t="n">
        <f aca="false">N151+N153</f>
        <v>1038.9090460484</v>
      </c>
      <c r="O154" s="70" t="n">
        <f aca="false">O151+O153</f>
        <v>1083.33998917753</v>
      </c>
      <c r="P154" s="70" t="n">
        <f aca="false">P151+P153</f>
        <v>1130.16107078295</v>
      </c>
      <c r="Q154" s="70" t="n">
        <f aca="false">Q151+Q153</f>
        <v>1179.51921902889</v>
      </c>
    </row>
  </sheetData>
  <conditionalFormatting sqref="B82:Q82">
    <cfRule type="cellIs" priority="2" operator="not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D44" activePane="bottomRight" state="frozen"/>
      <selection pane="topLeft" activeCell="A1" activeCellId="0" sqref="A1"/>
      <selection pane="topRight" activeCell="D1" activeCellId="0" sqref="D1"/>
      <selection pane="bottomLeft" activeCell="A44" activeCellId="0" sqref="A44"/>
      <selection pane="bottomRight" activeCell="G60" activeCellId="0" sqref="G60"/>
    </sheetView>
  </sheetViews>
  <sheetFormatPr defaultRowHeight="15"/>
  <cols>
    <col collapsed="false" hidden="false" max="1" min="1" style="114" width="52.3805668016194"/>
    <col collapsed="false" hidden="false" max="7" min="2" style="0" width="10.3886639676113"/>
    <col collapsed="false" hidden="false" max="1025" min="8" style="0" width="8.57085020242915"/>
  </cols>
  <sheetData>
    <row r="1" customFormat="false" ht="15" hidden="false" customHeight="false" outlineLevel="0" collapsed="false">
      <c r="A1" s="115"/>
      <c r="B1" s="116" t="n">
        <v>2012</v>
      </c>
      <c r="C1" s="116" t="n">
        <v>2013</v>
      </c>
      <c r="D1" s="116" t="n">
        <v>2014</v>
      </c>
      <c r="E1" s="116" t="n">
        <v>2015</v>
      </c>
      <c r="F1" s="116" t="n">
        <v>2016</v>
      </c>
      <c r="G1" s="116" t="n">
        <v>2017</v>
      </c>
      <c r="H1" s="116" t="n">
        <v>2018</v>
      </c>
      <c r="I1" s="116" t="n">
        <v>2019</v>
      </c>
      <c r="J1" s="116" t="n">
        <v>2020</v>
      </c>
      <c r="K1" s="116" t="n">
        <v>2021</v>
      </c>
      <c r="L1" s="116" t="n">
        <v>2022</v>
      </c>
      <c r="M1" s="116" t="n">
        <v>2023</v>
      </c>
      <c r="N1" s="116" t="n">
        <v>2024</v>
      </c>
      <c r="O1" s="116" t="n">
        <v>2025</v>
      </c>
      <c r="P1" s="116" t="n">
        <v>2026</v>
      </c>
      <c r="Q1" s="116" t="n">
        <v>2027</v>
      </c>
    </row>
    <row r="2" customFormat="false" ht="15" hidden="false" customHeight="false" outlineLevel="0" collapsed="false">
      <c r="A2" s="117" t="s">
        <v>270</v>
      </c>
      <c r="B2" s="54"/>
      <c r="C2" s="54"/>
      <c r="D2" s="54"/>
      <c r="E2" s="54"/>
      <c r="F2" s="54"/>
      <c r="G2" s="54"/>
    </row>
    <row r="3" customFormat="false" ht="15" hidden="false" customHeight="false" outlineLevel="0" collapsed="false">
      <c r="A3" s="114" t="s">
        <v>271</v>
      </c>
      <c r="B3" s="54" t="n">
        <f aca="false">'Income Statement'!C30</f>
        <v>2415</v>
      </c>
      <c r="C3" s="54" t="n">
        <f aca="false">'Income Statement'!D30</f>
        <v>1710</v>
      </c>
      <c r="D3" s="54" t="n">
        <f aca="false">'Income Statement'!E30</f>
        <v>2031</v>
      </c>
      <c r="E3" s="54" t="n">
        <f aca="false">'Income Statement'!F30</f>
        <v>2435</v>
      </c>
      <c r="F3" s="54" t="n">
        <f aca="false">'Income Statement'!G30</f>
        <v>2529</v>
      </c>
      <c r="G3" s="54" t="n">
        <f aca="false">'Income Statement'!H30</f>
        <v>926</v>
      </c>
      <c r="H3" s="54" t="n">
        <f aca="false">'Income Statement'!I30</f>
        <v>3509.7501876322</v>
      </c>
      <c r="I3" s="54" t="n">
        <f aca="false">'Income Statement'!J30</f>
        <v>3414.74725012232</v>
      </c>
      <c r="J3" s="54" t="n">
        <f aca="false">'Income Statement'!K30</f>
        <v>3313.40296669834</v>
      </c>
      <c r="K3" s="54" t="n">
        <f aca="false">'Income Statement'!L30</f>
        <v>3338.93700174596</v>
      </c>
      <c r="L3" s="54" t="n">
        <f aca="false">'Income Statement'!M30</f>
        <v>3224.48372038131</v>
      </c>
      <c r="M3" s="54" t="n">
        <f aca="false">'Income Statement'!N30</f>
        <v>3103.29480589091</v>
      </c>
      <c r="N3" s="54" t="n">
        <f aca="false">'Income Statement'!O30</f>
        <v>2975.27598080377</v>
      </c>
      <c r="O3" s="54" t="n">
        <f aca="false">'Income Statement'!P30</f>
        <v>2840.35722362303</v>
      </c>
      <c r="P3" s="54" t="n">
        <f aca="false">'Income Statement'!Q30</f>
        <v>2698.49677667328</v>
      </c>
      <c r="Q3" s="54" t="n">
        <f aca="false">'Income Statement'!R30</f>
        <v>2549.68561080756</v>
      </c>
    </row>
    <row r="4" customFormat="false" ht="30" hidden="false" customHeight="false" outlineLevel="0" collapsed="false">
      <c r="A4" s="114" t="s">
        <v>272</v>
      </c>
      <c r="B4" s="54"/>
      <c r="C4" s="54"/>
      <c r="D4" s="54"/>
      <c r="E4" s="54"/>
      <c r="F4" s="54"/>
      <c r="G4" s="54"/>
    </row>
    <row r="5" customFormat="false" ht="15" hidden="false" customHeight="false" outlineLevel="0" collapsed="false">
      <c r="A5" s="118" t="s">
        <v>273</v>
      </c>
      <c r="B5" s="54" t="n">
        <v>2145</v>
      </c>
      <c r="C5" s="54" t="n">
        <v>2298</v>
      </c>
      <c r="D5" s="54" t="n">
        <v>2293</v>
      </c>
      <c r="E5" s="54" t="n">
        <v>2395</v>
      </c>
      <c r="F5" s="54" t="n">
        <v>2923</v>
      </c>
      <c r="G5" s="54" t="n">
        <v>3457</v>
      </c>
    </row>
    <row r="6" customFormat="false" ht="15" hidden="false" customHeight="false" outlineLevel="0" collapsed="false">
      <c r="A6" s="118" t="s">
        <v>274</v>
      </c>
      <c r="B6" s="54" t="n">
        <v>1096</v>
      </c>
      <c r="C6" s="54" t="n">
        <v>496</v>
      </c>
      <c r="D6" s="54" t="n">
        <v>709</v>
      </c>
      <c r="E6" s="54" t="n">
        <v>1404</v>
      </c>
      <c r="F6" s="54" t="n">
        <v>-127</v>
      </c>
      <c r="G6" s="54" t="n">
        <v>166</v>
      </c>
    </row>
    <row r="7" customFormat="false" ht="15" hidden="false" customHeight="false" outlineLevel="0" collapsed="false">
      <c r="A7" s="118" t="s">
        <v>275</v>
      </c>
      <c r="B7" s="54" t="n">
        <v>128</v>
      </c>
      <c r="C7" s="54" t="n">
        <v>302</v>
      </c>
      <c r="D7" s="54" t="n">
        <v>35</v>
      </c>
      <c r="E7" s="54" t="n">
        <v>0</v>
      </c>
      <c r="F7" s="54" t="n">
        <v>0</v>
      </c>
      <c r="G7" s="54" t="n">
        <v>0</v>
      </c>
    </row>
    <row r="8" customFormat="false" ht="15" hidden="false" customHeight="false" outlineLevel="0" collapsed="false">
      <c r="A8" s="118" t="s">
        <v>276</v>
      </c>
      <c r="B8" s="54" t="n">
        <v>0</v>
      </c>
      <c r="C8" s="54" t="n">
        <v>0</v>
      </c>
      <c r="D8" s="54" t="n">
        <v>0</v>
      </c>
      <c r="E8" s="54" t="n">
        <v>0</v>
      </c>
      <c r="F8" s="54" t="n">
        <v>-102</v>
      </c>
      <c r="G8" s="54" t="n">
        <v>-4</v>
      </c>
    </row>
    <row r="9" customFormat="false" ht="15" hidden="false" customHeight="false" outlineLevel="0" collapsed="false">
      <c r="A9" s="118" t="s">
        <v>120</v>
      </c>
      <c r="B9" s="54" t="n">
        <v>-143</v>
      </c>
      <c r="C9" s="54" t="n">
        <v>-190</v>
      </c>
      <c r="D9" s="54" t="n">
        <v>-245</v>
      </c>
      <c r="E9" s="54" t="n">
        <v>-226</v>
      </c>
      <c r="F9" s="54" t="n">
        <v>-202</v>
      </c>
      <c r="G9" s="54" t="n">
        <v>-160</v>
      </c>
    </row>
    <row r="10" customFormat="false" ht="15" hidden="false" customHeight="false" outlineLevel="0" collapsed="false">
      <c r="A10" s="118" t="s">
        <v>277</v>
      </c>
      <c r="B10" s="54" t="n">
        <v>-398</v>
      </c>
      <c r="C10" s="54" t="n">
        <v>131</v>
      </c>
      <c r="D10" s="54" t="n">
        <v>-515</v>
      </c>
      <c r="E10" s="54" t="n">
        <v>-7</v>
      </c>
      <c r="F10" s="54" t="n">
        <v>-1029</v>
      </c>
      <c r="G10" s="54" t="n">
        <v>-2</v>
      </c>
      <c r="H10" s="54" t="n">
        <v>0</v>
      </c>
      <c r="I10" s="54" t="n">
        <v>0</v>
      </c>
      <c r="J10" s="54" t="n">
        <v>0</v>
      </c>
      <c r="K10" s="54" t="n">
        <v>0</v>
      </c>
      <c r="L10" s="54" t="n">
        <v>0</v>
      </c>
      <c r="M10" s="54" t="n">
        <v>0</v>
      </c>
      <c r="N10" s="54" t="n">
        <v>0</v>
      </c>
      <c r="O10" s="54" t="n">
        <v>0</v>
      </c>
      <c r="P10" s="54" t="n">
        <v>0</v>
      </c>
      <c r="Q10" s="54" t="n">
        <v>0</v>
      </c>
    </row>
    <row r="11" customFormat="false" ht="15" hidden="false" customHeight="false" outlineLevel="0" collapsed="false">
      <c r="A11" s="118" t="s">
        <v>278</v>
      </c>
      <c r="B11" s="54" t="n">
        <v>0</v>
      </c>
      <c r="C11" s="54" t="n">
        <v>0</v>
      </c>
      <c r="D11" s="54" t="n">
        <v>0</v>
      </c>
      <c r="E11" s="54" t="n">
        <v>-37</v>
      </c>
      <c r="F11" s="54" t="n">
        <v>-171</v>
      </c>
      <c r="G11" s="54" t="n">
        <v>-177</v>
      </c>
    </row>
    <row r="12" customFormat="false" ht="15" hidden="false" customHeight="false" outlineLevel="0" collapsed="false">
      <c r="A12" s="118" t="s">
        <v>279</v>
      </c>
      <c r="B12" s="54" t="n">
        <v>55</v>
      </c>
      <c r="C12" s="54" t="n">
        <v>59</v>
      </c>
      <c r="D12" s="54" t="n">
        <v>63</v>
      </c>
      <c r="E12" s="54" t="n">
        <v>99</v>
      </c>
      <c r="F12" s="54" t="n">
        <v>121</v>
      </c>
      <c r="G12" s="54" t="n">
        <v>109</v>
      </c>
    </row>
    <row r="13" customFormat="false" ht="15" hidden="false" customHeight="false" outlineLevel="0" collapsed="false">
      <c r="A13" s="118" t="s">
        <v>280</v>
      </c>
      <c r="B13" s="54" t="n">
        <v>0</v>
      </c>
      <c r="C13" s="54" t="n">
        <v>0</v>
      </c>
      <c r="D13" s="54" t="n">
        <v>0</v>
      </c>
      <c r="E13" s="54" t="n">
        <v>-17</v>
      </c>
      <c r="F13" s="54" t="n">
        <v>-233</v>
      </c>
      <c r="G13" s="54" t="n">
        <v>6</v>
      </c>
      <c r="H13" s="54" t="n">
        <v>0</v>
      </c>
      <c r="I13" s="54" t="n">
        <v>0</v>
      </c>
      <c r="J13" s="54" t="n">
        <v>0</v>
      </c>
      <c r="K13" s="54" t="n">
        <v>0</v>
      </c>
      <c r="L13" s="54" t="n">
        <v>0</v>
      </c>
      <c r="M13" s="54" t="n">
        <v>0</v>
      </c>
      <c r="N13" s="54" t="n">
        <v>0</v>
      </c>
      <c r="O13" s="54" t="n">
        <v>0</v>
      </c>
      <c r="P13" s="54" t="n">
        <v>0</v>
      </c>
      <c r="Q13" s="54" t="n">
        <v>0</v>
      </c>
    </row>
    <row r="14" customFormat="false" ht="15" hidden="false" customHeight="false" outlineLevel="0" collapsed="false">
      <c r="A14" s="118" t="s">
        <v>116</v>
      </c>
      <c r="B14" s="54" t="n">
        <v>0</v>
      </c>
      <c r="C14" s="54" t="n">
        <v>1180</v>
      </c>
      <c r="D14" s="54" t="n">
        <v>868</v>
      </c>
      <c r="E14" s="54" t="n">
        <v>365</v>
      </c>
      <c r="F14" s="54" t="n">
        <v>428</v>
      </c>
      <c r="G14" s="54" t="n">
        <v>3179</v>
      </c>
      <c r="H14" s="0" t="n">
        <f aca="false">'Income Statement'!I18</f>
        <v>200</v>
      </c>
      <c r="I14" s="0" t="n">
        <f aca="false">'Income Statement'!J18</f>
        <v>200</v>
      </c>
      <c r="J14" s="0" t="n">
        <f aca="false">'Income Statement'!K18</f>
        <v>200</v>
      </c>
      <c r="K14" s="0" t="n">
        <f aca="false">'Income Statement'!L18</f>
        <v>0</v>
      </c>
      <c r="L14" s="0" t="n">
        <f aca="false">'Income Statement'!M18</f>
        <v>0</v>
      </c>
      <c r="M14" s="0" t="n">
        <f aca="false">'Income Statement'!N18</f>
        <v>0</v>
      </c>
      <c r="N14" s="0" t="n">
        <f aca="false">'Income Statement'!O18</f>
        <v>0</v>
      </c>
      <c r="O14" s="0" t="n">
        <f aca="false">'Income Statement'!P18</f>
        <v>0</v>
      </c>
      <c r="P14" s="0" t="n">
        <f aca="false">'Income Statement'!Q18</f>
        <v>0</v>
      </c>
      <c r="Q14" s="0" t="n">
        <f aca="false">'Income Statement'!R18</f>
        <v>0</v>
      </c>
    </row>
    <row r="15" customFormat="false" ht="15" hidden="false" customHeight="false" outlineLevel="0" collapsed="false">
      <c r="A15" s="118" t="s">
        <v>207</v>
      </c>
      <c r="B15" s="54" t="n">
        <v>0</v>
      </c>
      <c r="C15" s="54" t="n">
        <v>0</v>
      </c>
      <c r="D15" s="54" t="n">
        <v>0</v>
      </c>
      <c r="E15" s="54" t="n">
        <v>-413</v>
      </c>
      <c r="F15" s="54" t="n">
        <v>-122</v>
      </c>
      <c r="G15" s="54" t="n">
        <v>-47</v>
      </c>
    </row>
    <row r="16" customFormat="false" ht="15" hidden="false" customHeight="false" outlineLevel="0" collapsed="false">
      <c r="A16" s="118" t="s">
        <v>281</v>
      </c>
      <c r="B16" s="54" t="n">
        <v>51</v>
      </c>
      <c r="C16" s="54" t="n">
        <v>-41</v>
      </c>
      <c r="D16" s="54" t="n">
        <v>-38</v>
      </c>
      <c r="E16" s="54" t="n">
        <v>49</v>
      </c>
      <c r="F16" s="54" t="n">
        <v>-99</v>
      </c>
      <c r="G16" s="54" t="n">
        <v>-109</v>
      </c>
    </row>
    <row r="17" customFormat="false" ht="15" hidden="false" customHeight="false" outlineLevel="0" collapsed="false">
      <c r="A17" s="118" t="s">
        <v>282</v>
      </c>
      <c r="B17" s="54"/>
      <c r="C17" s="54"/>
      <c r="D17" s="54"/>
      <c r="E17" s="54"/>
      <c r="F17" s="54"/>
      <c r="G17" s="54"/>
    </row>
    <row r="18" customFormat="false" ht="15" hidden="false" customHeight="false" outlineLevel="0" collapsed="false">
      <c r="A18" s="119" t="s">
        <v>283</v>
      </c>
      <c r="B18" s="54" t="n">
        <v>234</v>
      </c>
      <c r="C18" s="54" t="n">
        <v>-153</v>
      </c>
      <c r="D18" s="54" t="n">
        <v>-352</v>
      </c>
      <c r="E18" s="54" t="n">
        <v>243</v>
      </c>
      <c r="F18" s="54" t="n">
        <v>-544</v>
      </c>
      <c r="G18" s="54" t="n">
        <v>-199</v>
      </c>
    </row>
    <row r="19" customFormat="false" ht="15" hidden="false" customHeight="false" outlineLevel="0" collapsed="false">
      <c r="A19" s="119" t="s">
        <v>185</v>
      </c>
      <c r="B19" s="54" t="n">
        <v>-452</v>
      </c>
      <c r="C19" s="54" t="n">
        <v>481</v>
      </c>
      <c r="D19" s="54" t="n">
        <v>408</v>
      </c>
      <c r="E19" s="54" t="n">
        <v>61</v>
      </c>
      <c r="F19" s="54" t="n">
        <v>178</v>
      </c>
      <c r="G19" s="54" t="n">
        <v>36</v>
      </c>
    </row>
    <row r="20" customFormat="false" ht="15" hidden="false" customHeight="false" outlineLevel="0" collapsed="false">
      <c r="A20" s="119" t="s">
        <v>184</v>
      </c>
      <c r="B20" s="54" t="n">
        <v>-97</v>
      </c>
      <c r="C20" s="54" t="n">
        <v>36</v>
      </c>
      <c r="D20" s="54" t="n">
        <v>-67</v>
      </c>
      <c r="E20" s="54" t="n">
        <v>0</v>
      </c>
      <c r="F20" s="54" t="n">
        <v>0</v>
      </c>
      <c r="G20" s="54" t="n">
        <v>0</v>
      </c>
    </row>
    <row r="21" customFormat="false" ht="15" hidden="false" customHeight="false" outlineLevel="0" collapsed="false">
      <c r="A21" s="119" t="s">
        <v>187</v>
      </c>
      <c r="B21" s="54" t="n">
        <v>0</v>
      </c>
      <c r="C21" s="54" t="n">
        <v>0</v>
      </c>
      <c r="D21" s="54" t="n">
        <v>0</v>
      </c>
      <c r="E21" s="54" t="n">
        <v>0</v>
      </c>
      <c r="F21" s="54" t="n">
        <v>-226</v>
      </c>
      <c r="G21" s="54" t="n">
        <v>36</v>
      </c>
    </row>
    <row r="22" customFormat="false" ht="15" hidden="false" customHeight="false" outlineLevel="0" collapsed="false">
      <c r="A22" s="119" t="s">
        <v>191</v>
      </c>
      <c r="B22" s="54" t="n">
        <v>-37</v>
      </c>
      <c r="C22" s="54" t="n">
        <v>-11</v>
      </c>
      <c r="D22" s="54" t="n">
        <v>-57</v>
      </c>
      <c r="E22" s="54" t="n">
        <v>-152</v>
      </c>
      <c r="F22" s="54" t="n">
        <v>-206</v>
      </c>
      <c r="G22" s="54" t="n">
        <v>-143</v>
      </c>
    </row>
    <row r="23" customFormat="false" ht="15" hidden="false" customHeight="false" outlineLevel="0" collapsed="false">
      <c r="A23" s="119" t="s">
        <v>216</v>
      </c>
      <c r="B23" s="54" t="n">
        <v>-89</v>
      </c>
      <c r="C23" s="54" t="n">
        <v>72</v>
      </c>
      <c r="D23" s="54" t="n">
        <v>267</v>
      </c>
      <c r="E23" s="54" t="n">
        <v>-353</v>
      </c>
      <c r="F23" s="54" t="n">
        <v>301</v>
      </c>
      <c r="G23" s="54" t="n">
        <v>-280</v>
      </c>
      <c r="J23" s="0" t="n">
        <f aca="false">'Balance Sheet'!C56-'Balance Sheet'!B56</f>
        <v>-11</v>
      </c>
      <c r="K23" s="0" t="n">
        <f aca="false">'Balance Sheet'!D56-'Balance Sheet'!C56</f>
        <v>217</v>
      </c>
      <c r="L23" s="0" t="n">
        <f aca="false">'Balance Sheet'!E56-'Balance Sheet'!D56</f>
        <v>312</v>
      </c>
      <c r="M23" s="0" t="n">
        <f aca="false">'Balance Sheet'!F56-'Balance Sheet'!E56</f>
        <v>323</v>
      </c>
      <c r="N23" s="0" t="n">
        <f aca="false">'Balance Sheet'!G56-'Balance Sheet'!F56</f>
        <v>302</v>
      </c>
    </row>
    <row r="24" customFormat="false" ht="15" hidden="false" customHeight="false" outlineLevel="0" collapsed="false">
      <c r="A24" s="119" t="s">
        <v>284</v>
      </c>
      <c r="B24" s="54" t="n">
        <v>-71</v>
      </c>
      <c r="C24" s="54" t="n">
        <v>-85</v>
      </c>
      <c r="D24" s="54" t="n">
        <v>-105</v>
      </c>
      <c r="E24" s="54" t="n">
        <v>352</v>
      </c>
      <c r="F24" s="54" t="n">
        <v>1456</v>
      </c>
      <c r="G24" s="54" t="n">
        <v>-142</v>
      </c>
    </row>
    <row r="25" customFormat="false" ht="15" hidden="false" customHeight="false" outlineLevel="0" collapsed="false">
      <c r="A25" s="119" t="s">
        <v>285</v>
      </c>
      <c r="B25" s="54" t="n">
        <v>0</v>
      </c>
      <c r="C25" s="54" t="n">
        <v>0</v>
      </c>
      <c r="D25" s="54" t="n">
        <v>0</v>
      </c>
      <c r="E25" s="54" t="n">
        <v>289</v>
      </c>
      <c r="F25" s="54" t="n">
        <v>-231</v>
      </c>
      <c r="G25" s="54" t="n">
        <v>-212</v>
      </c>
    </row>
    <row r="26" customFormat="false" ht="15" hidden="false" customHeight="false" outlineLevel="0" collapsed="false">
      <c r="A26" s="119" t="s">
        <v>224</v>
      </c>
      <c r="B26" s="54" t="n">
        <v>-28</v>
      </c>
      <c r="C26" s="54" t="n">
        <v>-138</v>
      </c>
      <c r="D26" s="54" t="n">
        <v>255</v>
      </c>
      <c r="E26" s="54" t="n">
        <v>0</v>
      </c>
      <c r="F26" s="54" t="n">
        <v>0</v>
      </c>
      <c r="G26" s="54" t="n">
        <v>0</v>
      </c>
    </row>
    <row r="27" customFormat="false" ht="15" hidden="false" customHeight="false" outlineLevel="0" collapsed="false">
      <c r="A27" s="119" t="s">
        <v>229</v>
      </c>
      <c r="B27" s="54" t="n">
        <v>0</v>
      </c>
      <c r="C27" s="54" t="n">
        <v>0</v>
      </c>
      <c r="D27" s="54" t="n">
        <v>180</v>
      </c>
      <c r="E27" s="54" t="n">
        <v>-271</v>
      </c>
      <c r="F27" s="54" t="n">
        <v>0</v>
      </c>
      <c r="G27" s="54" t="n">
        <v>0</v>
      </c>
      <c r="H27" s="54" t="n">
        <v>0</v>
      </c>
      <c r="I27" s="54" t="n">
        <v>0</v>
      </c>
      <c r="J27" s="54" t="n">
        <v>0</v>
      </c>
      <c r="K27" s="54" t="n">
        <v>0</v>
      </c>
      <c r="L27" s="54" t="n">
        <v>0</v>
      </c>
      <c r="M27" s="54" t="n">
        <v>0</v>
      </c>
      <c r="N27" s="54" t="n">
        <v>0</v>
      </c>
      <c r="O27" s="54" t="n">
        <v>0</v>
      </c>
      <c r="P27" s="54" t="n">
        <v>0</v>
      </c>
      <c r="Q27" s="54" t="n">
        <v>0</v>
      </c>
    </row>
    <row r="28" customFormat="false" ht="15" hidden="false" customHeight="false" outlineLevel="0" collapsed="false">
      <c r="A28" s="119" t="s">
        <v>230</v>
      </c>
      <c r="B28" s="54" t="n">
        <v>89</v>
      </c>
      <c r="C28" s="54" t="n">
        <v>-50</v>
      </c>
      <c r="D28" s="54" t="n">
        <v>85</v>
      </c>
      <c r="E28" s="54" t="n">
        <v>58</v>
      </c>
      <c r="F28" s="54" t="n">
        <v>250</v>
      </c>
      <c r="G28" s="54" t="n">
        <v>-45</v>
      </c>
    </row>
    <row r="29" customFormat="false" ht="15" hidden="false" customHeight="false" outlineLevel="0" collapsed="false">
      <c r="A29" s="120" t="s">
        <v>286</v>
      </c>
      <c r="B29" s="100" t="n">
        <f aca="false">B3+B5+B6+B7+B8+B9+B10+B11+B12+B13+B14+B15+B16+B18+B19+B20+B21+B22+B23+B24+B25+B26+B27+B28</f>
        <v>4898</v>
      </c>
      <c r="C29" s="100" t="n">
        <f aca="false">C3+C5+C6+C7+C8+C9+C10+C11+C12+C13+C14+C15+C16+C18+C19+C20+C21+C22+C23+C24+C25+C26+C27+C28</f>
        <v>6097</v>
      </c>
      <c r="D29" s="100" t="n">
        <f aca="false">D3+D5+D6+D7+D8+D9+D10+D11+D12+D13+D14+D15+D16+D18+D19+D20+D21+D22+D23+D24+D25+D26+D27+D28</f>
        <v>5815</v>
      </c>
      <c r="E29" s="100" t="n">
        <f aca="false">E3+E5+E6+E7+E8+E9+E10+E11+E12+E13+E14+E15+E16+E18+E19+E20+E21+E22+E23+E24+E25+E26+E27+E28</f>
        <v>6274</v>
      </c>
      <c r="F29" s="100" t="n">
        <f aca="false">F3+F5+F6+F7+F8+F9+F10+F11+F12+F13+F14+F15+F16+F18+F19+F20+F21+F22+F23+F24+F25+F26+F27+F28</f>
        <v>4894</v>
      </c>
      <c r="G29" s="100" t="n">
        <f aca="false">G3+G5+G6+G7+G8+G9+G10+G11+G12+G13+G14+G15+G16+G18+G19+G20+G21+G22+G23+G24+G25+G26+G27+G28</f>
        <v>6395</v>
      </c>
      <c r="H29" s="100" t="n">
        <f aca="false">H3+H5+H6+H7+H8+H9+H10+H11+H12+H13+H14+H15+H16+H18+H19+H20+H21+H22+H23+H24+H25+H26+H27+H28</f>
        <v>3709.7501876322</v>
      </c>
      <c r="I29" s="100" t="n">
        <f aca="false">I3+I5+I6+I7+I8+I9+I10+I11+I12+I13+I14+I15+I16+I18+I19+I20+I21+I22+I23+I24+I25+I26+I27+I28</f>
        <v>3614.74725012232</v>
      </c>
      <c r="J29" s="100" t="n">
        <f aca="false">J3+J5+J6+J7+J8+J9+J10+J11+J12+J13+J14+J15+J16+J18+J19+J20+J21+J22+J23+J24+J25+J26+J27+J28</f>
        <v>3502.40296669834</v>
      </c>
      <c r="K29" s="100" t="n">
        <f aca="false">K3+K5+K6+K7+K8+K9+K10+K11+K12+K13+K14+K15+K16+K18+K19+K20+K21+K22+K23+K24+K25+K26+K27+K28</f>
        <v>3555.93700174596</v>
      </c>
      <c r="L29" s="100" t="n">
        <f aca="false">L3+L5+L6+L7+L8+L9+L10+L11+L12+L13+L14+L15+L16+L18+L19+L20+L21+L22+L23+L24+L25+L26+L27+L28</f>
        <v>3536.48372038131</v>
      </c>
      <c r="M29" s="100" t="n">
        <f aca="false">M3+M5+M6+M7+M8+M9+M10+M11+M12+M13+M14+M15+M16+M18+M19+M20+M21+M22+M23+M24+M25+M26+M27+M28</f>
        <v>3426.29480589091</v>
      </c>
      <c r="N29" s="100" t="n">
        <f aca="false">N3+N5+N6+N7+N8+N9+N10+N11+N12+N13+N14+N15+N16+N18+N19+N20+N21+N22+N23+N24+N25+N26+N27+N28</f>
        <v>3277.27598080377</v>
      </c>
      <c r="O29" s="100" t="n">
        <f aca="false">O3+O5+O6+O7+O8+O9+O10+O11+O12+O13+O14+O15+O16+O18+O19+O20+O21+O22+O23+O24+O25+O26+O27+O28</f>
        <v>2840.35722362303</v>
      </c>
      <c r="P29" s="100" t="n">
        <f aca="false">P3+P5+P6+P7+P8+P9+P10+P11+P12+P13+P14+P15+P16+P18+P19+P20+P21+P22+P23+P24+P25+P26+P27+P28</f>
        <v>2698.49677667328</v>
      </c>
      <c r="Q29" s="100" t="n">
        <f aca="false">Q3+Q5+Q6+Q7+Q8+Q9+Q10+Q11+Q12+Q13+Q14+Q15+Q16+Q18+Q19+Q20+Q21+Q22+Q23+Q24+Q25+Q26+Q27+Q28</f>
        <v>2549.68561080756</v>
      </c>
    </row>
    <row r="30" customFormat="false" ht="15" hidden="false" customHeight="false" outlineLevel="0" collapsed="false">
      <c r="A30" s="117" t="s">
        <v>287</v>
      </c>
      <c r="B30" s="54"/>
      <c r="C30" s="54"/>
      <c r="D30" s="54"/>
      <c r="E30" s="54"/>
      <c r="F30" s="54"/>
    </row>
    <row r="31" customFormat="false" ht="15" hidden="false" customHeight="false" outlineLevel="0" collapsed="false">
      <c r="A31" s="114" t="s">
        <v>288</v>
      </c>
      <c r="B31" s="54" t="n">
        <v>0</v>
      </c>
      <c r="C31" s="54" t="n">
        <v>0</v>
      </c>
      <c r="D31" s="54" t="n">
        <v>0</v>
      </c>
      <c r="E31" s="54" t="n">
        <v>-1719</v>
      </c>
      <c r="F31" s="54" t="n">
        <v>-10689</v>
      </c>
      <c r="G31" s="54" t="n">
        <v>-1070</v>
      </c>
    </row>
    <row r="32" customFormat="false" ht="15" hidden="false" customHeight="false" outlineLevel="0" collapsed="false">
      <c r="A32" s="114" t="s">
        <v>289</v>
      </c>
      <c r="B32" s="54" t="n">
        <v>-4809</v>
      </c>
      <c r="C32" s="54" t="n">
        <v>-5463</v>
      </c>
      <c r="D32" s="54" t="n">
        <v>-5977</v>
      </c>
      <c r="E32" s="54" t="n">
        <v>-5674</v>
      </c>
      <c r="F32" s="54" t="n">
        <v>-7310</v>
      </c>
      <c r="G32" s="54" t="n">
        <v>-7423</v>
      </c>
    </row>
    <row r="33" customFormat="false" ht="30" hidden="false" customHeight="false" outlineLevel="0" collapsed="false">
      <c r="A33" s="114" t="s">
        <v>290</v>
      </c>
      <c r="B33" s="54" t="n">
        <v>0</v>
      </c>
      <c r="C33" s="54" t="n">
        <v>0</v>
      </c>
      <c r="D33" s="54" t="n">
        <v>0</v>
      </c>
      <c r="E33" s="54" t="n">
        <v>0</v>
      </c>
      <c r="F33" s="54" t="n">
        <v>0</v>
      </c>
      <c r="G33" s="54" t="n">
        <v>1682</v>
      </c>
      <c r="H33" s="54" t="n">
        <v>0</v>
      </c>
      <c r="I33" s="54" t="n">
        <v>0</v>
      </c>
      <c r="J33" s="54" t="n">
        <v>0</v>
      </c>
      <c r="K33" s="54" t="n">
        <v>0</v>
      </c>
      <c r="L33" s="54" t="n">
        <v>0</v>
      </c>
      <c r="M33" s="54" t="n">
        <v>0</v>
      </c>
      <c r="N33" s="54" t="n">
        <v>0</v>
      </c>
      <c r="O33" s="54" t="n">
        <v>0</v>
      </c>
      <c r="P33" s="54" t="n">
        <v>0</v>
      </c>
      <c r="Q33" s="54" t="n">
        <v>0</v>
      </c>
    </row>
    <row r="34" customFormat="false" ht="15" hidden="false" customHeight="false" outlineLevel="0" collapsed="false">
      <c r="A34" s="114" t="s">
        <v>291</v>
      </c>
      <c r="B34" s="54" t="n">
        <v>-280</v>
      </c>
      <c r="C34" s="54" t="n">
        <v>-149</v>
      </c>
      <c r="D34" s="54" t="n">
        <v>-11</v>
      </c>
      <c r="E34" s="54" t="n">
        <v>-160</v>
      </c>
      <c r="F34" s="54" t="n">
        <v>-733</v>
      </c>
      <c r="G34" s="54" t="n">
        <v>-17</v>
      </c>
      <c r="H34" s="70" t="n">
        <v>0</v>
      </c>
      <c r="I34" s="70" t="n">
        <v>0</v>
      </c>
      <c r="J34" s="70" t="n">
        <v>0</v>
      </c>
      <c r="K34" s="70" t="n">
        <v>0</v>
      </c>
      <c r="L34" s="70" t="n">
        <v>0</v>
      </c>
      <c r="M34" s="70" t="n">
        <v>0</v>
      </c>
      <c r="N34" s="70" t="n">
        <v>0</v>
      </c>
      <c r="O34" s="70" t="n">
        <v>0</v>
      </c>
      <c r="P34" s="70" t="n">
        <v>0</v>
      </c>
      <c r="Q34" s="70" t="n">
        <v>0</v>
      </c>
    </row>
    <row r="35" customFormat="false" ht="15" hidden="false" customHeight="false" outlineLevel="0" collapsed="false">
      <c r="A35" s="114" t="s">
        <v>292</v>
      </c>
      <c r="B35" s="54" t="n">
        <v>284</v>
      </c>
      <c r="C35" s="54" t="n">
        <v>96</v>
      </c>
      <c r="D35" s="54" t="n">
        <v>57</v>
      </c>
      <c r="E35" s="54" t="n">
        <v>154</v>
      </c>
      <c r="F35" s="54" t="n">
        <v>742</v>
      </c>
      <c r="G35" s="54" t="n">
        <v>34</v>
      </c>
      <c r="H35" s="54" t="n">
        <v>0</v>
      </c>
      <c r="I35" s="54" t="n">
        <v>0</v>
      </c>
      <c r="J35" s="54" t="n">
        <v>0</v>
      </c>
      <c r="K35" s="54" t="n">
        <v>0</v>
      </c>
      <c r="L35" s="54" t="n">
        <v>0</v>
      </c>
      <c r="M35" s="54" t="n">
        <v>0</v>
      </c>
      <c r="N35" s="54" t="n">
        <v>0</v>
      </c>
      <c r="O35" s="54" t="n">
        <v>0</v>
      </c>
      <c r="P35" s="54" t="n">
        <v>0</v>
      </c>
      <c r="Q35" s="54" t="n">
        <v>0</v>
      </c>
    </row>
    <row r="36" customFormat="false" ht="15" hidden="false" customHeight="false" outlineLevel="0" collapsed="false">
      <c r="A36" s="114" t="s">
        <v>293</v>
      </c>
      <c r="B36" s="54" t="n">
        <v>-1046</v>
      </c>
      <c r="C36" s="54" t="n">
        <v>-986</v>
      </c>
      <c r="D36" s="54" t="n">
        <v>-916</v>
      </c>
      <c r="E36" s="54" t="n">
        <v>-1424</v>
      </c>
      <c r="F36" s="54" t="n">
        <v>-1160</v>
      </c>
      <c r="G36" s="54" t="n">
        <v>-811</v>
      </c>
    </row>
    <row r="37" customFormat="false" ht="15" hidden="false" customHeight="false" outlineLevel="0" collapsed="false">
      <c r="A37" s="114" t="s">
        <v>294</v>
      </c>
      <c r="B37" s="54" t="n">
        <v>1043</v>
      </c>
      <c r="C37" s="54" t="n">
        <v>984</v>
      </c>
      <c r="D37" s="54" t="n">
        <v>914</v>
      </c>
      <c r="E37" s="54" t="n">
        <v>1418</v>
      </c>
      <c r="F37" s="54" t="n">
        <v>1154</v>
      </c>
      <c r="G37" s="54" t="n">
        <v>805</v>
      </c>
    </row>
    <row r="38" customFormat="false" ht="15" hidden="false" customHeight="false" outlineLevel="0" collapsed="false">
      <c r="A38" s="114" t="s">
        <v>295</v>
      </c>
      <c r="B38" s="54" t="n">
        <v>-149</v>
      </c>
      <c r="C38" s="54" t="n">
        <v>-131</v>
      </c>
      <c r="D38" s="54" t="n">
        <v>-170</v>
      </c>
      <c r="E38" s="54" t="n">
        <v>-167</v>
      </c>
      <c r="F38" s="54" t="n">
        <v>-245</v>
      </c>
      <c r="G38" s="54" t="n">
        <v>-313</v>
      </c>
    </row>
    <row r="39" customFormat="false" ht="15" hidden="false" customHeight="false" outlineLevel="0" collapsed="false">
      <c r="A39" s="114" t="s">
        <v>296</v>
      </c>
      <c r="B39" s="54" t="n">
        <v>-84</v>
      </c>
      <c r="C39" s="54" t="n">
        <v>-126</v>
      </c>
      <c r="D39" s="54" t="n">
        <v>-107</v>
      </c>
      <c r="E39" s="54" t="n">
        <v>402</v>
      </c>
      <c r="F39" s="54" t="n">
        <v>-121</v>
      </c>
      <c r="G39" s="54" t="n">
        <v>259</v>
      </c>
    </row>
    <row r="40" customFormat="false" ht="15" hidden="false" customHeight="false" outlineLevel="0" collapsed="false">
      <c r="A40" s="114" t="s">
        <v>297</v>
      </c>
      <c r="B40" s="54" t="n">
        <v>0</v>
      </c>
      <c r="C40" s="54" t="n">
        <v>0</v>
      </c>
      <c r="D40" s="54" t="n">
        <v>0</v>
      </c>
      <c r="E40" s="54" t="n">
        <v>0</v>
      </c>
      <c r="F40" s="54" t="n">
        <v>-1444</v>
      </c>
      <c r="G40" s="54" t="n">
        <v>-152</v>
      </c>
    </row>
    <row r="41" customFormat="false" ht="15" hidden="false" customHeight="false" outlineLevel="0" collapsed="false">
      <c r="A41" s="114" t="s">
        <v>298</v>
      </c>
      <c r="B41" s="54" t="n">
        <v>-146</v>
      </c>
      <c r="C41" s="54" t="n">
        <v>-91</v>
      </c>
      <c r="D41" s="54" t="n">
        <v>-181</v>
      </c>
      <c r="E41" s="54" t="n">
        <v>-197</v>
      </c>
      <c r="F41" s="54" t="n">
        <v>-134</v>
      </c>
      <c r="G41" s="54" t="n">
        <v>-227</v>
      </c>
    </row>
    <row r="42" customFormat="false" ht="15" hidden="false" customHeight="false" outlineLevel="0" collapsed="false">
      <c r="A42" s="114" t="s">
        <v>299</v>
      </c>
      <c r="B42" s="54" t="n">
        <v>19</v>
      </c>
      <c r="C42" s="54" t="n">
        <v>124</v>
      </c>
      <c r="D42" s="54" t="n">
        <v>-17</v>
      </c>
      <c r="E42" s="54" t="n">
        <v>87</v>
      </c>
      <c r="F42" s="54" t="n">
        <v>-108</v>
      </c>
      <c r="G42" s="54" t="n">
        <v>42</v>
      </c>
    </row>
    <row r="43" customFormat="false" ht="15" hidden="false" customHeight="false" outlineLevel="0" collapsed="false">
      <c r="A43" s="120" t="s">
        <v>300</v>
      </c>
      <c r="B43" s="100" t="n">
        <f aca="false">B31+B32+B33+B34+B35+B36+B37+B38+B39+B40+B41+B42</f>
        <v>-5168</v>
      </c>
      <c r="C43" s="100" t="n">
        <f aca="false">C31+C32+C33+C34+C35+C36+C37+C38+C39+C40+C41+C42</f>
        <v>-5742</v>
      </c>
      <c r="D43" s="100" t="n">
        <f aca="false">D31+D32+D33+D34+D35+D36+D37+D38+D39+D40+D41+D42</f>
        <v>-6408</v>
      </c>
      <c r="E43" s="100" t="n">
        <f aca="false">E31+E32+E33+E34+E35+E36+E37+E38+E39+E40+E41+E42</f>
        <v>-7280</v>
      </c>
      <c r="F43" s="100" t="n">
        <f aca="false">F31+F32+F33+F34+F35+F36+F37+F38+F39+F40+F41+F42</f>
        <v>-20048</v>
      </c>
      <c r="G43" s="100" t="n">
        <f aca="false">G31+G32+G33+G34+G35+G36+G37+G38+G39+G40+G41+G42</f>
        <v>-7191</v>
      </c>
      <c r="H43" s="100" t="n">
        <f aca="false">H31+H32+H33+H34+H35+H36+H37+H38+H39+H40+H41+H42</f>
        <v>0</v>
      </c>
      <c r="I43" s="100" t="n">
        <f aca="false">I31+I32+I33+I34+I35+I36+I37+I38+I39+I40+I41+I42</f>
        <v>0</v>
      </c>
      <c r="J43" s="100" t="n">
        <f aca="false">J31+J32+J33+J34+J35+J36+J37+J38+J39+J40+J41+J42</f>
        <v>0</v>
      </c>
      <c r="K43" s="100" t="n">
        <f aca="false">K31+K32+K33+K34+K35+K36+K37+K38+K39+K40+K41+K42</f>
        <v>0</v>
      </c>
      <c r="L43" s="100" t="n">
        <f aca="false">L31+L32+L33+L34+L35+L36+L37+L38+L39+L40+L41+L42</f>
        <v>0</v>
      </c>
      <c r="M43" s="100" t="n">
        <f aca="false">M31+M32+M33+M34+M35+M36+M37+M38+M39+M40+M41+M42</f>
        <v>0</v>
      </c>
      <c r="N43" s="100" t="n">
        <f aca="false">N31+N32+N33+N34+N35+N36+N37+N38+N39+N40+N41+N42</f>
        <v>0</v>
      </c>
      <c r="O43" s="100" t="n">
        <f aca="false">O31+O32+O33+O34+O35+O36+O37+O38+O39+O40+O41+O42</f>
        <v>0</v>
      </c>
      <c r="P43" s="100" t="n">
        <f aca="false">P31+P32+P33+P34+P35+P36+P37+P38+P39+P40+P41+P42</f>
        <v>0</v>
      </c>
      <c r="Q43" s="100" t="n">
        <f aca="false">Q31+Q32+Q33+Q34+Q35+Q36+Q37+Q38+Q39+Q40+Q41+Q42</f>
        <v>0</v>
      </c>
    </row>
    <row r="44" customFormat="false" ht="15" hidden="false" customHeight="false" outlineLevel="0" collapsed="false">
      <c r="A44" s="117" t="s">
        <v>301</v>
      </c>
      <c r="B44" s="54"/>
      <c r="C44" s="54"/>
      <c r="D44" s="54"/>
      <c r="E44" s="54"/>
      <c r="F44" s="54"/>
      <c r="G44" s="54"/>
    </row>
    <row r="45" customFormat="false" ht="15" hidden="false" customHeight="false" outlineLevel="0" collapsed="false">
      <c r="A45" s="114" t="s">
        <v>302</v>
      </c>
      <c r="B45" s="54" t="n">
        <v>-30</v>
      </c>
      <c r="C45" s="54" t="n">
        <v>662</v>
      </c>
      <c r="D45" s="54" t="n">
        <v>-676</v>
      </c>
      <c r="E45" s="54" t="n">
        <v>73</v>
      </c>
      <c r="F45" s="54" t="n">
        <v>1228</v>
      </c>
      <c r="G45" s="54" t="n">
        <v>-401</v>
      </c>
    </row>
    <row r="46" customFormat="false" ht="15" hidden="false" customHeight="false" outlineLevel="0" collapsed="false">
      <c r="A46" s="114" t="s">
        <v>303</v>
      </c>
      <c r="B46" s="54"/>
      <c r="C46" s="54"/>
      <c r="D46" s="54"/>
      <c r="E46" s="54"/>
      <c r="F46" s="54"/>
      <c r="G46" s="54"/>
    </row>
    <row r="47" customFormat="false" ht="15" hidden="false" customHeight="false" outlineLevel="0" collapsed="false">
      <c r="A47" s="118" t="s">
        <v>304</v>
      </c>
      <c r="B47" s="54" t="n">
        <v>4404</v>
      </c>
      <c r="C47" s="54" t="n">
        <v>2938</v>
      </c>
      <c r="D47" s="54" t="n">
        <v>3169</v>
      </c>
      <c r="E47" s="54" t="n">
        <v>7029</v>
      </c>
      <c r="F47" s="54" t="n">
        <v>16368</v>
      </c>
      <c r="G47" s="54" t="n">
        <v>5858</v>
      </c>
    </row>
    <row r="48" customFormat="false" ht="15" hidden="false" customHeight="false" outlineLevel="0" collapsed="false">
      <c r="A48" s="118" t="s">
        <v>305</v>
      </c>
      <c r="B48" s="54" t="n">
        <v>397</v>
      </c>
      <c r="C48" s="54" t="n">
        <v>695</v>
      </c>
      <c r="D48" s="54" t="n">
        <v>806</v>
      </c>
      <c r="E48" s="54" t="n">
        <v>256</v>
      </c>
      <c r="F48" s="54" t="n">
        <v>3758</v>
      </c>
      <c r="G48" s="54" t="n">
        <v>793</v>
      </c>
    </row>
    <row r="49" customFormat="false" ht="15" hidden="false" customHeight="false" outlineLevel="0" collapsed="false">
      <c r="A49" s="118" t="s">
        <v>306</v>
      </c>
      <c r="B49" s="54" t="n">
        <v>0</v>
      </c>
      <c r="C49" s="54" t="n">
        <v>50</v>
      </c>
      <c r="D49" s="54" t="n">
        <v>0</v>
      </c>
      <c r="E49" s="54" t="n">
        <v>0</v>
      </c>
      <c r="F49" s="54" t="n">
        <v>0</v>
      </c>
      <c r="G49" s="54" t="n">
        <v>250</v>
      </c>
    </row>
    <row r="50" customFormat="false" ht="15" hidden="false" customHeight="false" outlineLevel="0" collapsed="false">
      <c r="A50" s="118" t="s">
        <v>213</v>
      </c>
      <c r="B50" s="54" t="n">
        <v>150</v>
      </c>
      <c r="C50" s="54" t="n">
        <v>0</v>
      </c>
      <c r="D50" s="54" t="n">
        <v>125</v>
      </c>
      <c r="E50" s="54" t="n">
        <v>0</v>
      </c>
      <c r="F50" s="54" t="n">
        <v>0</v>
      </c>
      <c r="G50" s="54" t="n">
        <v>0</v>
      </c>
    </row>
    <row r="51" customFormat="false" ht="15" hidden="false" customHeight="false" outlineLevel="0" collapsed="false">
      <c r="A51" s="118" t="s">
        <v>307</v>
      </c>
      <c r="B51" s="54" t="n">
        <v>0</v>
      </c>
      <c r="C51" s="54" t="n">
        <v>0</v>
      </c>
      <c r="D51" s="54" t="n">
        <v>0</v>
      </c>
      <c r="E51" s="54" t="n">
        <v>755</v>
      </c>
      <c r="F51" s="54" t="n">
        <v>0</v>
      </c>
      <c r="G51" s="54" t="n">
        <v>1259</v>
      </c>
    </row>
    <row r="52" customFormat="false" ht="15" hidden="false" customHeight="false" outlineLevel="0" collapsed="false">
      <c r="A52" s="114" t="s">
        <v>308</v>
      </c>
      <c r="B52" s="54"/>
      <c r="C52" s="54"/>
      <c r="D52" s="54"/>
      <c r="E52" s="54"/>
      <c r="F52" s="54"/>
      <c r="G52" s="54"/>
    </row>
    <row r="53" customFormat="false" ht="15" hidden="false" customHeight="false" outlineLevel="0" collapsed="false">
      <c r="A53" s="118" t="s">
        <v>304</v>
      </c>
      <c r="B53" s="54" t="n">
        <v>-3169</v>
      </c>
      <c r="C53" s="54" t="n">
        <v>-2830</v>
      </c>
      <c r="D53" s="54" t="n">
        <v>-816</v>
      </c>
      <c r="E53" s="54" t="n">
        <v>-3604</v>
      </c>
      <c r="F53" s="54" t="n">
        <v>-3145</v>
      </c>
      <c r="G53" s="54" t="n">
        <v>-2930</v>
      </c>
    </row>
    <row r="54" customFormat="false" ht="15" hidden="false" customHeight="false" outlineLevel="0" collapsed="false">
      <c r="A54" s="118" t="s">
        <v>305</v>
      </c>
      <c r="B54" s="54" t="n">
        <v>-430</v>
      </c>
      <c r="C54" s="54" t="n">
        <v>-20</v>
      </c>
      <c r="D54" s="54" t="n">
        <v>-5</v>
      </c>
      <c r="E54" s="54" t="n">
        <v>-115</v>
      </c>
      <c r="F54" s="54" t="n">
        <v>0</v>
      </c>
      <c r="G54" s="54" t="n">
        <v>0</v>
      </c>
    </row>
    <row r="55" customFormat="false" ht="15" hidden="false" customHeight="false" outlineLevel="0" collapsed="false">
      <c r="A55" s="118" t="s">
        <v>213</v>
      </c>
      <c r="B55" s="54" t="n">
        <v>0</v>
      </c>
      <c r="C55" s="54" t="n">
        <v>0</v>
      </c>
      <c r="D55" s="54" t="n">
        <v>0</v>
      </c>
      <c r="E55" s="54" t="n">
        <v>-275</v>
      </c>
      <c r="F55" s="54" t="n">
        <v>0</v>
      </c>
      <c r="G55" s="54" t="n">
        <v>0</v>
      </c>
    </row>
    <row r="56" customFormat="false" ht="15" hidden="false" customHeight="false" outlineLevel="0" collapsed="false">
      <c r="A56" s="118" t="s">
        <v>309</v>
      </c>
      <c r="B56" s="54" t="n">
        <v>0</v>
      </c>
      <c r="C56" s="54" t="n">
        <v>0</v>
      </c>
      <c r="D56" s="54" t="n">
        <v>0</v>
      </c>
      <c r="E56" s="54" t="n">
        <v>-412</v>
      </c>
      <c r="F56" s="54" t="n">
        <v>0</v>
      </c>
      <c r="G56" s="54" t="n">
        <v>-658</v>
      </c>
    </row>
    <row r="57" customFormat="false" ht="15" hidden="false" customHeight="false" outlineLevel="0" collapsed="false">
      <c r="A57" s="118" t="s">
        <v>307</v>
      </c>
      <c r="B57" s="54" t="n">
        <v>0</v>
      </c>
      <c r="C57" s="54" t="n">
        <v>0</v>
      </c>
      <c r="D57" s="54" t="n">
        <v>0</v>
      </c>
      <c r="E57" s="54" t="n">
        <v>-255</v>
      </c>
      <c r="F57" s="54" t="n">
        <v>-478</v>
      </c>
      <c r="G57" s="54" t="n">
        <v>-659</v>
      </c>
    </row>
    <row r="58" customFormat="false" ht="15" hidden="false" customHeight="false" outlineLevel="0" collapsed="false">
      <c r="A58" s="114" t="s">
        <v>310</v>
      </c>
      <c r="B58" s="54" t="n">
        <v>0</v>
      </c>
      <c r="C58" s="54" t="n">
        <v>0</v>
      </c>
      <c r="D58" s="54" t="n">
        <v>0</v>
      </c>
      <c r="E58" s="54" t="n">
        <v>-18</v>
      </c>
      <c r="F58" s="54" t="n">
        <v>-72</v>
      </c>
      <c r="G58" s="54" t="n">
        <v>-119</v>
      </c>
    </row>
    <row r="59" customFormat="false" ht="15" hidden="false" customHeight="false" outlineLevel="0" collapsed="false">
      <c r="A59" s="114" t="s">
        <v>311</v>
      </c>
      <c r="B59" s="54" t="n">
        <v>0</v>
      </c>
      <c r="C59" s="54" t="n">
        <v>0</v>
      </c>
      <c r="D59" s="54" t="n">
        <v>0</v>
      </c>
      <c r="E59" s="54" t="n">
        <v>341</v>
      </c>
      <c r="F59" s="54" t="n">
        <v>682</v>
      </c>
      <c r="G59" s="54" t="n">
        <v>80</v>
      </c>
    </row>
    <row r="60" customFormat="false" ht="15" hidden="false" customHeight="false" outlineLevel="0" collapsed="false">
      <c r="A60" s="114" t="s">
        <v>312</v>
      </c>
      <c r="B60" s="54" t="n">
        <v>-1693</v>
      </c>
      <c r="C60" s="54" t="n">
        <v>-1762</v>
      </c>
      <c r="D60" s="54" t="n">
        <v>-1866</v>
      </c>
      <c r="E60" s="54" t="n">
        <v>-1959</v>
      </c>
      <c r="F60" s="54" t="n">
        <v>-2104</v>
      </c>
      <c r="G60" s="54" t="n">
        <v>-2300</v>
      </c>
    </row>
    <row r="61" customFormat="false" ht="15" hidden="false" customHeight="false" outlineLevel="0" collapsed="false">
      <c r="A61" s="114" t="s">
        <v>313</v>
      </c>
      <c r="B61" s="54" t="n">
        <v>-65</v>
      </c>
      <c r="C61" s="54" t="n">
        <v>-66</v>
      </c>
      <c r="D61" s="54" t="n">
        <v>-68</v>
      </c>
      <c r="E61" s="54" t="n">
        <v>0</v>
      </c>
      <c r="F61" s="54" t="n">
        <v>0</v>
      </c>
      <c r="G61" s="54" t="n">
        <v>0</v>
      </c>
    </row>
    <row r="62" customFormat="false" ht="15" hidden="false" customHeight="false" outlineLevel="0" collapsed="false">
      <c r="A62" s="114" t="s">
        <v>314</v>
      </c>
      <c r="B62" s="54" t="n">
        <v>19</v>
      </c>
      <c r="C62" s="54" t="n">
        <v>9</v>
      </c>
      <c r="D62" s="54" t="n">
        <v>-25</v>
      </c>
      <c r="E62" s="54" t="n">
        <v>-116</v>
      </c>
      <c r="F62" s="54" t="n">
        <v>-512</v>
      </c>
      <c r="G62" s="54" t="n">
        <v>-222</v>
      </c>
    </row>
    <row r="63" customFormat="false" ht="15" hidden="false" customHeight="false" outlineLevel="0" collapsed="false">
      <c r="A63" s="120" t="s">
        <v>315</v>
      </c>
      <c r="B63" s="100" t="n">
        <f aca="false">B45+B47+B48+B49+B50+B51+B53+B54+B55+B56+B57+B58+B59+B60+B61+B62</f>
        <v>-417</v>
      </c>
      <c r="C63" s="100" t="n">
        <f aca="false">C45+C47+C48+C49+C50+C51+C53+C54+C55+C56+C57+C58+C59+C60+C61+C62</f>
        <v>-324</v>
      </c>
      <c r="D63" s="100" t="n">
        <f aca="false">D45+D47+D48+D49+D50+D51+D53+D54+D55+D56+D57+D58+D59+D60+D61+D62</f>
        <v>644</v>
      </c>
      <c r="E63" s="100" t="n">
        <f aca="false">E45+E47+E48+E49+E50+E51+E53+E54+E55+E56+E57+E58+E59+E60+E61+E62</f>
        <v>1700</v>
      </c>
      <c r="F63" s="100" t="n">
        <f aca="false">F45+F47+F48+F49+F50+F51+F53+F54+F55+F56+F57+F58+F59+F60+F61+F62</f>
        <v>15725</v>
      </c>
      <c r="G63" s="100" t="n">
        <f aca="false">G45+G47+G48+G49+G50+G51+G53+G54+G55+G56+G57+G58+G59+G60+G61+G62</f>
        <v>951</v>
      </c>
      <c r="H63" s="100" t="n">
        <f aca="false">H45+H47+H48+H49+H50+H51+H53+H54+H55+H56+H57+H58+H59+H60+H61+H62</f>
        <v>0</v>
      </c>
      <c r="I63" s="100" t="n">
        <f aca="false">I45+I47+I48+I49+I50+I51+I53+I54+I55+I56+I57+I58+I59+I60+I61+I62</f>
        <v>0</v>
      </c>
      <c r="J63" s="100" t="n">
        <f aca="false">J45+J47+J48+J49+J50+J51+J53+J54+J55+J56+J57+J58+J59+J60+J61+J62</f>
        <v>0</v>
      </c>
      <c r="K63" s="100" t="n">
        <f aca="false">K45+K47+K48+K49+K50+K51+K53+K54+K55+K56+K57+K58+K59+K60+K61+K62</f>
        <v>0</v>
      </c>
      <c r="L63" s="100" t="n">
        <f aca="false">L45+L47+L48+L49+L50+L51+L53+L54+L55+L56+L57+L58+L59+L60+L61+L62</f>
        <v>0</v>
      </c>
      <c r="M63" s="100" t="n">
        <f aca="false">M45+M47+M48+M49+M50+M51+M53+M54+M55+M56+M57+M58+M59+M60+M61+M62</f>
        <v>0</v>
      </c>
      <c r="N63" s="100" t="n">
        <f aca="false">N45+N47+N48+N49+N50+N51+N53+N54+N55+N56+N57+N58+N59+N60+N61+N62</f>
        <v>0</v>
      </c>
      <c r="O63" s="100" t="n">
        <f aca="false">O45+O47+O48+O49+O50+O51+O53+O54+O55+O56+O57+O58+O59+O60+O61+O62</f>
        <v>0</v>
      </c>
      <c r="P63" s="100" t="n">
        <f aca="false">P45+P47+P48+P49+P50+P51+P53+P54+P55+P56+P57+P58+P59+P60+P61+P62</f>
        <v>0</v>
      </c>
      <c r="Q63" s="100" t="n">
        <f aca="false">Q45+Q47+Q48+Q49+Q50+Q51+Q53+Q54+Q55+Q56+Q57+Q58+Q59+Q60+Q61+Q62</f>
        <v>0</v>
      </c>
    </row>
    <row r="64" customFormat="false" ht="15" hidden="false" customHeight="false" outlineLevel="0" collapsed="false">
      <c r="A64" s="117" t="s">
        <v>316</v>
      </c>
      <c r="B64" s="54" t="n">
        <f aca="false">B29+B43+B63</f>
        <v>-687</v>
      </c>
      <c r="C64" s="54" t="n">
        <f aca="false">C29+C43+C63</f>
        <v>31</v>
      </c>
      <c r="D64" s="54" t="n">
        <f aca="false">D29+D43+D63</f>
        <v>51</v>
      </c>
      <c r="E64" s="54" t="n">
        <f aca="false">E29+E43+E63</f>
        <v>694</v>
      </c>
      <c r="F64" s="54" t="n">
        <f aca="false">F29+F43+F63</f>
        <v>571</v>
      </c>
      <c r="G64" s="54" t="n">
        <f aca="false">G29+G43+G63</f>
        <v>155</v>
      </c>
      <c r="H64" s="54" t="n">
        <f aca="false">H29+H43+H63</f>
        <v>3709.7501876322</v>
      </c>
      <c r="I64" s="54" t="n">
        <f aca="false">I29+I43+I63</f>
        <v>3614.74725012232</v>
      </c>
      <c r="J64" s="54" t="n">
        <f aca="false">J29+J43+J63</f>
        <v>3502.40296669834</v>
      </c>
      <c r="K64" s="54" t="n">
        <f aca="false">K29+K43+K63</f>
        <v>3555.93700174596</v>
      </c>
      <c r="L64" s="54" t="n">
        <f aca="false">L29+L43+L63</f>
        <v>3536.48372038131</v>
      </c>
      <c r="M64" s="54" t="n">
        <f aca="false">M29+M43+M63</f>
        <v>3426.29480589091</v>
      </c>
      <c r="N64" s="54" t="n">
        <f aca="false">N29+N43+N63</f>
        <v>3277.27598080377</v>
      </c>
      <c r="O64" s="54" t="n">
        <f aca="false">O29+O43+O63</f>
        <v>2840.35722362303</v>
      </c>
      <c r="P64" s="54" t="n">
        <f aca="false">P29+P43+P63</f>
        <v>2698.49677667328</v>
      </c>
      <c r="Q64" s="54" t="n">
        <f aca="false">Q29+Q43+Q63</f>
        <v>2549.68561080756</v>
      </c>
    </row>
    <row r="65" customFormat="false" ht="15" hidden="false" customHeight="false" outlineLevel="0" collapsed="false">
      <c r="A65" s="117" t="s">
        <v>317</v>
      </c>
      <c r="B65" s="54" t="n">
        <v>1315</v>
      </c>
      <c r="C65" s="54" t="n">
        <f aca="false">B66</f>
        <v>628</v>
      </c>
      <c r="D65" s="54" t="n">
        <f aca="false">C66</f>
        <v>659</v>
      </c>
      <c r="E65" s="54" t="n">
        <f aca="false">D66</f>
        <v>710</v>
      </c>
      <c r="F65" s="54" t="n">
        <f aca="false">E66</f>
        <v>1404</v>
      </c>
      <c r="G65" s="54" t="n">
        <f aca="false">F66</f>
        <v>1975</v>
      </c>
      <c r="H65" s="54" t="n">
        <f aca="false">G66</f>
        <v>2130</v>
      </c>
      <c r="I65" s="54" t="n">
        <f aca="false">H66</f>
        <v>5839.7501876322</v>
      </c>
      <c r="J65" s="54" t="n">
        <f aca="false">I66</f>
        <v>9454.49743775451</v>
      </c>
      <c r="K65" s="54" t="n">
        <f aca="false">J66</f>
        <v>12956.9004044529</v>
      </c>
      <c r="L65" s="54" t="n">
        <f aca="false">K66</f>
        <v>16512.8374061988</v>
      </c>
      <c r="M65" s="54" t="n">
        <f aca="false">L66</f>
        <v>20049.3211265801</v>
      </c>
      <c r="N65" s="54" t="n">
        <f aca="false">M66</f>
        <v>23475.615932471</v>
      </c>
      <c r="O65" s="54" t="n">
        <f aca="false">N66</f>
        <v>26752.8919132748</v>
      </c>
      <c r="P65" s="54" t="n">
        <f aca="false">O66</f>
        <v>29593.2491368978</v>
      </c>
      <c r="Q65" s="54" t="n">
        <f aca="false">P66</f>
        <v>32291.7459135711</v>
      </c>
    </row>
    <row r="66" customFormat="false" ht="15.75" hidden="false" customHeight="false" outlineLevel="0" collapsed="false">
      <c r="A66" s="121" t="s">
        <v>318</v>
      </c>
      <c r="B66" s="122" t="n">
        <f aca="false">B64+B65</f>
        <v>628</v>
      </c>
      <c r="C66" s="122" t="n">
        <f aca="false">C64+C65</f>
        <v>659</v>
      </c>
      <c r="D66" s="122" t="n">
        <f aca="false">D64+D65</f>
        <v>710</v>
      </c>
      <c r="E66" s="122" t="n">
        <f aca="false">E64+E65</f>
        <v>1404</v>
      </c>
      <c r="F66" s="122" t="n">
        <f aca="false">F64+F65</f>
        <v>1975</v>
      </c>
      <c r="G66" s="122" t="n">
        <f aca="false">G64+G65</f>
        <v>2130</v>
      </c>
      <c r="H66" s="122" t="n">
        <f aca="false">H64+H65</f>
        <v>5839.7501876322</v>
      </c>
      <c r="I66" s="122" t="n">
        <f aca="false">I64+I65</f>
        <v>9454.49743775451</v>
      </c>
      <c r="J66" s="122" t="n">
        <f aca="false">J64+J65</f>
        <v>12956.9004044529</v>
      </c>
      <c r="K66" s="122" t="n">
        <f aca="false">K64+K65</f>
        <v>16512.8374061988</v>
      </c>
      <c r="L66" s="122" t="n">
        <f aca="false">L64+L65</f>
        <v>20049.3211265801</v>
      </c>
      <c r="M66" s="122" t="n">
        <f aca="false">M64+M65</f>
        <v>23475.615932471</v>
      </c>
      <c r="N66" s="122" t="n">
        <f aca="false">N64+N65</f>
        <v>26752.8919132748</v>
      </c>
      <c r="O66" s="122" t="n">
        <f aca="false">O64+O65</f>
        <v>29593.2491368978</v>
      </c>
      <c r="P66" s="122" t="n">
        <f aca="false">P64+P65</f>
        <v>32291.7459135711</v>
      </c>
      <c r="Q66" s="122" t="n">
        <f aca="false">Q64+Q65</f>
        <v>34841.4315243787</v>
      </c>
    </row>
    <row r="67" customFormat="false" ht="15" hidden="false" customHeight="false" outlineLevel="0" collapsed="false">
      <c r="A67" s="0"/>
    </row>
    <row r="68" customFormat="false" ht="15" hidden="false" customHeight="false" outlineLevel="0" collapsed="false">
      <c r="A68" s="0"/>
    </row>
    <row r="69" customFormat="false" ht="14.9" hidden="false" customHeight="false" outlineLevel="0" collapsed="false">
      <c r="A69" s="114" t="s">
        <v>146</v>
      </c>
    </row>
    <row r="70" customFormat="false" ht="14.9" hidden="false" customHeight="false" outlineLevel="0" collapsed="false">
      <c r="A70" s="114" t="s">
        <v>319</v>
      </c>
      <c r="B70" s="70" t="n">
        <f aca="false">'SO-like'!C25</f>
        <v>2354</v>
      </c>
      <c r="C70" s="70" t="n">
        <f aca="false">'SO-like'!D25</f>
        <v>2900</v>
      </c>
      <c r="D70" s="70" t="n">
        <f aca="false">'SO-like'!E25</f>
        <v>2882</v>
      </c>
      <c r="E70" s="70" t="n">
        <f aca="false">'SO-like'!F25</f>
        <v>2792</v>
      </c>
      <c r="F70" s="70" t="n">
        <f aca="false">'SO-like'!G25</f>
        <v>2303.5</v>
      </c>
      <c r="G70" s="70" t="n">
        <f aca="false">'SO-like'!H25</f>
        <v>2611</v>
      </c>
    </row>
    <row r="71" customFormat="false" ht="14.9" hidden="false" customHeight="false" outlineLevel="0" collapsed="false">
      <c r="A71" s="114" t="s">
        <v>143</v>
      </c>
      <c r="B71" s="70" t="n">
        <f aca="false">'SO-like'!C12</f>
        <v>1787</v>
      </c>
      <c r="C71" s="70" t="n">
        <f aca="false">'SO-like'!D12</f>
        <v>1901</v>
      </c>
      <c r="D71" s="70" t="n">
        <f aca="false">'SO-like'!E12</f>
        <v>1945</v>
      </c>
      <c r="E71" s="70" t="n">
        <f aca="false">'SO-like'!F12</f>
        <v>2034</v>
      </c>
      <c r="F71" s="70" t="n">
        <f aca="false">'SO-like'!G12</f>
        <v>2502</v>
      </c>
      <c r="G71" s="70" t="n">
        <f aca="false">'SO-like'!H12</f>
        <v>3010</v>
      </c>
    </row>
    <row r="72" customFormat="false" ht="14.9" hidden="false" customHeight="false" outlineLevel="0" collapsed="false">
      <c r="A72" s="114" t="s">
        <v>320</v>
      </c>
      <c r="B72" s="70"/>
      <c r="C72" s="70" t="n">
        <f aca="false">'SO-like'!D12+BSsimp!C16-BSsimp!B16</f>
        <v>3576</v>
      </c>
      <c r="D72" s="70" t="n">
        <f aca="false">'SO-like'!E12+BSsimp!D16-BSsimp!C16</f>
        <v>4937</v>
      </c>
      <c r="E72" s="70" t="n">
        <f aca="false">'SO-like'!F12+BSsimp!E16-BSsimp!D16</f>
        <v>4997.88</v>
      </c>
      <c r="F72" s="70" t="n">
        <f aca="false">'SO-like'!G12+BSsimp!F16-BSsimp!E16</f>
        <v>6000.3696</v>
      </c>
      <c r="G72" s="70" t="n">
        <f aca="false">'SO-like'!H12+BSsimp!G16-BSsimp!F16</f>
        <v>6154.974976</v>
      </c>
    </row>
    <row r="73" customFormat="false" ht="14.9" hidden="false" customHeight="false" outlineLevel="0" collapsed="false">
      <c r="A73" s="114" t="s">
        <v>321</v>
      </c>
      <c r="C73" s="70" t="n">
        <f aca="false">(BSsimp!C12-BSsimp!B12)-(BSsimp!C63-BSsimp!B63)</f>
        <v>941</v>
      </c>
      <c r="D73" s="70" t="n">
        <f aca="false">(BSsimp!D12-BSsimp!C12)-(BSsimp!D63-BSsimp!C63)</f>
        <v>-3190</v>
      </c>
      <c r="E73" s="70" t="n">
        <f aca="false">(BSsimp!E12-BSsimp!D12)-(BSsimp!E63-BSsimp!D63)</f>
        <v>128</v>
      </c>
      <c r="F73" s="70" t="n">
        <f aca="false">(BSsimp!F12-BSsimp!E12)-(BSsimp!F63-BSsimp!E63)</f>
        <v>-222</v>
      </c>
      <c r="G73" s="70" t="n">
        <f aca="false">(BSsimp!G12-BSsimp!F12)-(BSsimp!G63-BSsimp!F63)</f>
        <v>-327</v>
      </c>
    </row>
    <row r="74" customFormat="false" ht="14.9" hidden="false" customHeight="false" outlineLevel="0" collapsed="false">
      <c r="A74" s="114" t="s">
        <v>146</v>
      </c>
      <c r="B74" s="70" t="n">
        <f aca="false">B70+B71-B72-B73</f>
        <v>4141</v>
      </c>
      <c r="C74" s="70" t="n">
        <f aca="false">C70+C71-C72-C73</f>
        <v>284</v>
      </c>
      <c r="D74" s="70" t="n">
        <f aca="false">D70+D71-D72-D73</f>
        <v>3080</v>
      </c>
      <c r="E74" s="70" t="n">
        <f aca="false">E70+E71-E72-E73</f>
        <v>-299.879999999997</v>
      </c>
      <c r="F74" s="70" t="n">
        <f aca="false">F70+F71-F72-F73</f>
        <v>-972.869599999998</v>
      </c>
      <c r="G74" s="70" t="n">
        <f aca="false">G70+G71-G72-G73</f>
        <v>-206.974976000005</v>
      </c>
    </row>
    <row r="77" customFormat="false" ht="15" hidden="false" customHeight="false" outlineLevel="0" collapsed="false">
      <c r="E77" s="0" t="n">
        <f aca="false">1.2*1.2*1.2*1.2*1.2</f>
        <v>2.48832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2018-03-30T23:29:24Z</dcterms:created>
  <dc:creator>biegelk</dc:creator>
  <dc:description/>
  <dc:language>en-US</dc:language>
  <cp:lastModifiedBy/>
  <cp:lastPrinted>2018-03-30T19:19:32Z</cp:lastPrinted>
  <dcterms:modified xsi:type="dcterms:W3CDTF">2018-05-16T16:07:28Z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