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0.CAMPUS.036\Desktop\Arkusz_Kalk\"/>
    </mc:Choice>
  </mc:AlternateContent>
  <xr:revisionPtr revIDLastSave="0" documentId="13_ncr:1_{5E65C83C-680D-4E8B-A037-10E8127F7CD9}" xr6:coauthVersionLast="47" xr6:coauthVersionMax="47" xr10:uidLastSave="{00000000-0000-0000-0000-000000000000}"/>
  <bookViews>
    <workbookView xWindow="-120" yWindow="-120" windowWidth="29040" windowHeight="15840" firstSheet="2" activeTab="13" xr2:uid="{12464DED-56F3-4CBF-B757-A909E4D6D3F4}"/>
  </bookViews>
  <sheets>
    <sheet name="Kategorie" sheetId="1" r:id="rId1"/>
    <sheet name="Operacje" sheetId="2" r:id="rId2"/>
    <sheet name="styczeń" sheetId="3" r:id="rId3"/>
    <sheet name="luty" sheetId="4" r:id="rId4"/>
    <sheet name="marzec" sheetId="5" r:id="rId5"/>
    <sheet name="kwiecień" sheetId="6" r:id="rId6"/>
    <sheet name="maj" sheetId="7" r:id="rId7"/>
    <sheet name="czerwiec" sheetId="8" r:id="rId8"/>
    <sheet name="lipiec" sheetId="9" r:id="rId9"/>
    <sheet name="sierpień" sheetId="10" r:id="rId10"/>
    <sheet name="wrzesień" sheetId="11" r:id="rId11"/>
    <sheet name="październik" sheetId="12" r:id="rId12"/>
    <sheet name="listopad" sheetId="13" r:id="rId13"/>
    <sheet name="grudzień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4" l="1"/>
  <c r="H15" i="14"/>
  <c r="H14" i="14"/>
  <c r="B14" i="14"/>
  <c r="B13" i="14" s="1"/>
  <c r="B15" i="14" s="1"/>
  <c r="H13" i="14"/>
  <c r="H12" i="14"/>
  <c r="H11" i="14"/>
  <c r="C11" i="14"/>
  <c r="H10" i="14"/>
  <c r="H9" i="14"/>
  <c r="H8" i="14"/>
  <c r="D8" i="14"/>
  <c r="H7" i="14"/>
  <c r="D7" i="14"/>
  <c r="H6" i="14"/>
  <c r="D6" i="14"/>
  <c r="H5" i="14"/>
  <c r="D5" i="14"/>
  <c r="H4" i="14"/>
  <c r="D4" i="14"/>
  <c r="H3" i="14"/>
  <c r="D3" i="14"/>
  <c r="H2" i="14"/>
  <c r="D2" i="14"/>
  <c r="D9" i="14" s="1"/>
  <c r="H16" i="13"/>
  <c r="H15" i="13"/>
  <c r="H14" i="13"/>
  <c r="B14" i="13"/>
  <c r="B13" i="13" s="1"/>
  <c r="B15" i="13" s="1"/>
  <c r="H13" i="13"/>
  <c r="H12" i="13"/>
  <c r="H11" i="13"/>
  <c r="C11" i="13"/>
  <c r="H10" i="13"/>
  <c r="H9" i="13"/>
  <c r="H8" i="13"/>
  <c r="D8" i="13"/>
  <c r="H7" i="13"/>
  <c r="D7" i="13"/>
  <c r="H6" i="13"/>
  <c r="D6" i="13"/>
  <c r="H5" i="13"/>
  <c r="D5" i="13"/>
  <c r="H4" i="13"/>
  <c r="D4" i="13"/>
  <c r="H3" i="13"/>
  <c r="D3" i="13"/>
  <c r="H2" i="13"/>
  <c r="D2" i="13"/>
  <c r="D9" i="13" s="1"/>
  <c r="H16" i="12"/>
  <c r="H15" i="12"/>
  <c r="H14" i="12"/>
  <c r="B14" i="12"/>
  <c r="B13" i="12" s="1"/>
  <c r="B15" i="12" s="1"/>
  <c r="H13" i="12"/>
  <c r="H12" i="12"/>
  <c r="H11" i="12"/>
  <c r="C11" i="12"/>
  <c r="H10" i="12"/>
  <c r="H9" i="12"/>
  <c r="H8" i="12"/>
  <c r="D8" i="12"/>
  <c r="H7" i="12"/>
  <c r="D7" i="12"/>
  <c r="H6" i="12"/>
  <c r="D6" i="12"/>
  <c r="H5" i="12"/>
  <c r="D5" i="12"/>
  <c r="H4" i="12"/>
  <c r="D4" i="12"/>
  <c r="H3" i="12"/>
  <c r="D3" i="12"/>
  <c r="H2" i="12"/>
  <c r="D2" i="12"/>
  <c r="D9" i="12" s="1"/>
  <c r="H16" i="11"/>
  <c r="H15" i="11"/>
  <c r="H14" i="11"/>
  <c r="B14" i="11"/>
  <c r="B13" i="11" s="1"/>
  <c r="B15" i="11" s="1"/>
  <c r="H13" i="11"/>
  <c r="H12" i="11"/>
  <c r="H11" i="11"/>
  <c r="C11" i="11"/>
  <c r="H10" i="11"/>
  <c r="H9" i="11"/>
  <c r="H8" i="11"/>
  <c r="D8" i="11"/>
  <c r="H7" i="11"/>
  <c r="D7" i="11"/>
  <c r="H6" i="11"/>
  <c r="D6" i="11"/>
  <c r="H5" i="11"/>
  <c r="D5" i="11"/>
  <c r="H4" i="11"/>
  <c r="D4" i="11"/>
  <c r="H3" i="11"/>
  <c r="D3" i="11"/>
  <c r="H2" i="11"/>
  <c r="D2" i="11"/>
  <c r="D9" i="11" s="1"/>
  <c r="H16" i="10"/>
  <c r="H15" i="10"/>
  <c r="H14" i="10"/>
  <c r="B14" i="10"/>
  <c r="B13" i="10" s="1"/>
  <c r="B15" i="10" s="1"/>
  <c r="H13" i="10"/>
  <c r="H12" i="10"/>
  <c r="H11" i="10"/>
  <c r="C11" i="10"/>
  <c r="H10" i="10"/>
  <c r="H9" i="10"/>
  <c r="H8" i="10"/>
  <c r="D8" i="10"/>
  <c r="H7" i="10"/>
  <c r="D7" i="10"/>
  <c r="H6" i="10"/>
  <c r="D6" i="10"/>
  <c r="H5" i="10"/>
  <c r="D5" i="10"/>
  <c r="H4" i="10"/>
  <c r="D4" i="10"/>
  <c r="H3" i="10"/>
  <c r="D3" i="10"/>
  <c r="H2" i="10"/>
  <c r="D2" i="10"/>
  <c r="D9" i="10" s="1"/>
  <c r="H16" i="9"/>
  <c r="H15" i="9"/>
  <c r="H14" i="9"/>
  <c r="B14" i="9"/>
  <c r="B13" i="9" s="1"/>
  <c r="B15" i="9" s="1"/>
  <c r="H13" i="9"/>
  <c r="H12" i="9"/>
  <c r="H11" i="9"/>
  <c r="C11" i="9"/>
  <c r="H10" i="9"/>
  <c r="H9" i="9"/>
  <c r="H8" i="9"/>
  <c r="D8" i="9"/>
  <c r="H7" i="9"/>
  <c r="D7" i="9"/>
  <c r="H6" i="9"/>
  <c r="D6" i="9"/>
  <c r="H5" i="9"/>
  <c r="D5" i="9"/>
  <c r="H4" i="9"/>
  <c r="D4" i="9"/>
  <c r="H3" i="9"/>
  <c r="D3" i="9"/>
  <c r="H2" i="9"/>
  <c r="D2" i="9"/>
  <c r="D9" i="9" s="1"/>
  <c r="H16" i="8"/>
  <c r="H15" i="8"/>
  <c r="H14" i="8"/>
  <c r="B14" i="8"/>
  <c r="B13" i="8" s="1"/>
  <c r="B15" i="8" s="1"/>
  <c r="H13" i="8"/>
  <c r="H12" i="8"/>
  <c r="H11" i="8"/>
  <c r="C11" i="8"/>
  <c r="H10" i="8"/>
  <c r="H9" i="8"/>
  <c r="H8" i="8"/>
  <c r="D8" i="8"/>
  <c r="H7" i="8"/>
  <c r="D7" i="8"/>
  <c r="H6" i="8"/>
  <c r="D6" i="8"/>
  <c r="H5" i="8"/>
  <c r="D5" i="8"/>
  <c r="H4" i="8"/>
  <c r="D4" i="8"/>
  <c r="H3" i="8"/>
  <c r="D3" i="8"/>
  <c r="H2" i="8"/>
  <c r="D2" i="8"/>
  <c r="D9" i="8" s="1"/>
  <c r="H16" i="7"/>
  <c r="H15" i="7"/>
  <c r="H14" i="7"/>
  <c r="B14" i="7"/>
  <c r="B13" i="7" s="1"/>
  <c r="B15" i="7" s="1"/>
  <c r="H13" i="7"/>
  <c r="H12" i="7"/>
  <c r="H11" i="7"/>
  <c r="C11" i="7"/>
  <c r="H10" i="7"/>
  <c r="H9" i="7"/>
  <c r="H8" i="7"/>
  <c r="D8" i="7"/>
  <c r="H7" i="7"/>
  <c r="D7" i="7"/>
  <c r="H6" i="7"/>
  <c r="D6" i="7"/>
  <c r="H5" i="7"/>
  <c r="D5" i="7"/>
  <c r="H4" i="7"/>
  <c r="D4" i="7"/>
  <c r="H3" i="7"/>
  <c r="D3" i="7"/>
  <c r="H2" i="7"/>
  <c r="D2" i="7"/>
  <c r="D9" i="7" s="1"/>
  <c r="H16" i="6"/>
  <c r="H15" i="6"/>
  <c r="H14" i="6"/>
  <c r="B14" i="6"/>
  <c r="B13" i="6" s="1"/>
  <c r="B15" i="6" s="1"/>
  <c r="H13" i="6"/>
  <c r="H12" i="6"/>
  <c r="H11" i="6"/>
  <c r="C11" i="6"/>
  <c r="H10" i="6"/>
  <c r="H9" i="6"/>
  <c r="H8" i="6"/>
  <c r="D8" i="6"/>
  <c r="H7" i="6"/>
  <c r="D7" i="6"/>
  <c r="H6" i="6"/>
  <c r="D6" i="6"/>
  <c r="H5" i="6"/>
  <c r="D5" i="6"/>
  <c r="H4" i="6"/>
  <c r="D4" i="6"/>
  <c r="H3" i="6"/>
  <c r="D3" i="6"/>
  <c r="H2" i="6"/>
  <c r="D2" i="6"/>
  <c r="D9" i="6" s="1"/>
  <c r="C11" i="5"/>
  <c r="C11" i="4"/>
  <c r="C11" i="3"/>
  <c r="H16" i="5"/>
  <c r="H15" i="5"/>
  <c r="H14" i="5"/>
  <c r="B14" i="5"/>
  <c r="B13" i="5" s="1"/>
  <c r="B15" i="5" s="1"/>
  <c r="H13" i="5"/>
  <c r="H12" i="5"/>
  <c r="H11" i="5"/>
  <c r="H10" i="5"/>
  <c r="H9" i="5"/>
  <c r="H8" i="5"/>
  <c r="D8" i="5"/>
  <c r="H7" i="5"/>
  <c r="D7" i="5"/>
  <c r="H6" i="5"/>
  <c r="D6" i="5"/>
  <c r="H5" i="5"/>
  <c r="D5" i="5"/>
  <c r="H4" i="5"/>
  <c r="D4" i="5"/>
  <c r="H3" i="5"/>
  <c r="D3" i="5"/>
  <c r="H2" i="5"/>
  <c r="D2" i="5"/>
  <c r="D9" i="5" s="1"/>
  <c r="H16" i="4"/>
  <c r="H15" i="4"/>
  <c r="H14" i="4"/>
  <c r="B14" i="4"/>
  <c r="B13" i="4" s="1"/>
  <c r="B15" i="4" s="1"/>
  <c r="H13" i="4"/>
  <c r="H12" i="4"/>
  <c r="H11" i="4"/>
  <c r="H10" i="4"/>
  <c r="H9" i="4"/>
  <c r="H8" i="4"/>
  <c r="D8" i="4"/>
  <c r="H7" i="4"/>
  <c r="D7" i="4"/>
  <c r="H6" i="4"/>
  <c r="D6" i="4"/>
  <c r="H5" i="4"/>
  <c r="D5" i="4"/>
  <c r="H4" i="4"/>
  <c r="D4" i="4"/>
  <c r="H3" i="4"/>
  <c r="D3" i="4"/>
  <c r="H2" i="4"/>
  <c r="D2" i="4"/>
  <c r="D9" i="4" s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B14" i="3"/>
  <c r="B13" i="3" s="1"/>
  <c r="B15" i="3" s="1"/>
  <c r="C9" i="3"/>
  <c r="D9" i="3"/>
  <c r="E9" i="3"/>
  <c r="E2" i="3"/>
  <c r="E3" i="3"/>
  <c r="E4" i="3"/>
  <c r="E5" i="3"/>
  <c r="E6" i="3"/>
  <c r="E7" i="3"/>
  <c r="E8" i="3"/>
  <c r="D2" i="3"/>
  <c r="D4" i="3"/>
  <c r="D5" i="3"/>
  <c r="D6" i="3"/>
  <c r="D7" i="3"/>
  <c r="D8" i="3"/>
  <c r="G2" i="2"/>
  <c r="D3" i="3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2" i="2"/>
  <c r="C2" i="4" a="1"/>
  <c r="C4" i="4" a="1"/>
  <c r="C6" i="4" a="1"/>
  <c r="C8" i="4" a="1"/>
  <c r="C3" i="4" a="1"/>
  <c r="C5" i="4" a="1"/>
  <c r="C7" i="4" a="1"/>
  <c r="C7" i="4" l="1"/>
  <c r="E7" i="4" s="1"/>
  <c r="C5" i="4"/>
  <c r="E5" i="4" s="1"/>
  <c r="C3" i="4"/>
  <c r="E3" i="4" s="1"/>
  <c r="C8" i="4"/>
  <c r="C6" i="4"/>
  <c r="E6" i="4" s="1"/>
  <c r="C4" i="4"/>
  <c r="E4" i="4" s="1"/>
  <c r="C2" i="4"/>
  <c r="E8" i="4"/>
  <c r="C3" i="5" a="1"/>
  <c r="C5" i="5" a="1"/>
  <c r="C8" i="5" a="1"/>
  <c r="C6" i="5" a="1"/>
  <c r="C7" i="5" a="1"/>
  <c r="C4" i="5" a="1"/>
  <c r="C3" i="5" l="1"/>
  <c r="E3" i="5" s="1"/>
  <c r="C4" i="5"/>
  <c r="E4" i="5" s="1"/>
  <c r="C7" i="5"/>
  <c r="E7" i="5" s="1"/>
  <c r="C6" i="5"/>
  <c r="E6" i="5" s="1"/>
  <c r="C8" i="5"/>
  <c r="E8" i="5" s="1"/>
  <c r="C5" i="5"/>
  <c r="E5" i="5" s="1"/>
  <c r="E2" i="4"/>
  <c r="C9" i="4"/>
  <c r="C6" i="6" a="1"/>
  <c r="C3" i="6" a="1"/>
  <c r="C8" i="6" a="1"/>
  <c r="C4" i="6" a="1"/>
  <c r="C5" i="6" a="1"/>
  <c r="C7" i="6" a="1"/>
  <c r="C2" i="5" a="1"/>
  <c r="C7" i="6" l="1"/>
  <c r="E7" i="6" s="1"/>
  <c r="C5" i="6"/>
  <c r="E5" i="6" s="1"/>
  <c r="C4" i="6"/>
  <c r="E4" i="6" s="1"/>
  <c r="C8" i="6"/>
  <c r="E8" i="6" s="1"/>
  <c r="C3" i="6"/>
  <c r="E3" i="6" s="1"/>
  <c r="C6" i="6"/>
  <c r="E6" i="6" s="1"/>
  <c r="C2" i="5"/>
  <c r="E9" i="4"/>
  <c r="C4" i="7" a="1"/>
  <c r="C8" i="7" a="1"/>
  <c r="C7" i="7" a="1"/>
  <c r="C3" i="7" a="1"/>
  <c r="C5" i="7" a="1"/>
  <c r="C6" i="7" a="1"/>
  <c r="C6" i="7" l="1"/>
  <c r="E6" i="7" s="1"/>
  <c r="C5" i="7"/>
  <c r="E5" i="7" s="1"/>
  <c r="C3" i="7"/>
  <c r="E3" i="7" s="1"/>
  <c r="C7" i="7"/>
  <c r="E7" i="7" s="1"/>
  <c r="C8" i="7"/>
  <c r="E8" i="7" s="1"/>
  <c r="C4" i="7"/>
  <c r="E4" i="7" s="1"/>
  <c r="C9" i="5"/>
  <c r="E2" i="5"/>
  <c r="C3" i="8" a="1"/>
  <c r="C7" i="8" a="1"/>
  <c r="C6" i="8" a="1"/>
  <c r="C8" i="8" a="1"/>
  <c r="C5" i="8" a="1"/>
  <c r="C4" i="8" a="1"/>
  <c r="C2" i="6" a="1"/>
  <c r="C4" i="8" l="1"/>
  <c r="E4" i="8" s="1"/>
  <c r="C5" i="8"/>
  <c r="E5" i="8" s="1"/>
  <c r="C8" i="8"/>
  <c r="E8" i="8" s="1"/>
  <c r="C6" i="8"/>
  <c r="E6" i="8" s="1"/>
  <c r="C7" i="8"/>
  <c r="E7" i="8" s="1"/>
  <c r="C3" i="8"/>
  <c r="E3" i="8" s="1"/>
  <c r="C2" i="6"/>
  <c r="E9" i="5"/>
  <c r="C4" i="9" a="1"/>
  <c r="C7" i="9" a="1"/>
  <c r="C5" i="9" a="1"/>
  <c r="C3" i="9" a="1"/>
  <c r="C8" i="9" a="1"/>
  <c r="C6" i="9" a="1"/>
  <c r="C6" i="9" l="1"/>
  <c r="E6" i="9" s="1"/>
  <c r="C8" i="9"/>
  <c r="E8" i="9" s="1"/>
  <c r="C3" i="9"/>
  <c r="E3" i="9" s="1"/>
  <c r="C5" i="9"/>
  <c r="E5" i="9" s="1"/>
  <c r="C7" i="9"/>
  <c r="E7" i="9" s="1"/>
  <c r="C4" i="9"/>
  <c r="E4" i="9" s="1"/>
  <c r="C9" i="6"/>
  <c r="E2" i="6"/>
  <c r="C6" i="10" a="1"/>
  <c r="C7" i="10" a="1"/>
  <c r="C8" i="10" a="1"/>
  <c r="C4" i="10" a="1"/>
  <c r="C3" i="10" a="1"/>
  <c r="C5" i="10" a="1"/>
  <c r="C2" i="7" a="1"/>
  <c r="C5" i="10" l="1"/>
  <c r="E5" i="10" s="1"/>
  <c r="C3" i="10"/>
  <c r="E3" i="10" s="1"/>
  <c r="C4" i="10"/>
  <c r="E4" i="10" s="1"/>
  <c r="C8" i="10"/>
  <c r="E8" i="10" s="1"/>
  <c r="C7" i="10"/>
  <c r="E7" i="10" s="1"/>
  <c r="C6" i="10"/>
  <c r="E6" i="10" s="1"/>
  <c r="C2" i="7"/>
  <c r="E9" i="6"/>
  <c r="C5" i="11" a="1"/>
  <c r="C7" i="11" a="1"/>
  <c r="C8" i="11" a="1"/>
  <c r="C3" i="11" a="1"/>
  <c r="C6" i="11" a="1"/>
  <c r="C4" i="11" a="1"/>
  <c r="C4" i="11" l="1"/>
  <c r="E4" i="11" s="1"/>
  <c r="C6" i="11"/>
  <c r="E6" i="11" s="1"/>
  <c r="C3" i="11"/>
  <c r="E3" i="11" s="1"/>
  <c r="C8" i="11"/>
  <c r="E8" i="11" s="1"/>
  <c r="C7" i="11"/>
  <c r="E7" i="11" s="1"/>
  <c r="C5" i="11"/>
  <c r="E5" i="11" s="1"/>
  <c r="C9" i="7"/>
  <c r="E2" i="7"/>
  <c r="C4" i="12" a="1"/>
  <c r="C7" i="12" a="1"/>
  <c r="C3" i="12" a="1"/>
  <c r="C6" i="12" a="1"/>
  <c r="C5" i="12" a="1"/>
  <c r="C8" i="12" a="1"/>
  <c r="C2" i="8" a="1"/>
  <c r="C2" i="8" l="1"/>
  <c r="C8" i="12"/>
  <c r="E8" i="12" s="1"/>
  <c r="C5" i="12"/>
  <c r="E5" i="12" s="1"/>
  <c r="C6" i="12"/>
  <c r="E6" i="12" s="1"/>
  <c r="C3" i="12"/>
  <c r="E3" i="12" s="1"/>
  <c r="C7" i="12"/>
  <c r="E7" i="12" s="1"/>
  <c r="C4" i="12"/>
  <c r="E4" i="12" s="1"/>
  <c r="E9" i="7"/>
  <c r="C3" i="13" a="1"/>
  <c r="C4" i="13" a="1"/>
  <c r="C8" i="13" a="1"/>
  <c r="C7" i="13" a="1"/>
  <c r="C5" i="13" a="1"/>
  <c r="C6" i="13" a="1"/>
  <c r="C6" i="13" l="1"/>
  <c r="E6" i="13" s="1"/>
  <c r="C5" i="13"/>
  <c r="E5" i="13" s="1"/>
  <c r="C7" i="13"/>
  <c r="E7" i="13" s="1"/>
  <c r="C8" i="13"/>
  <c r="E8" i="13" s="1"/>
  <c r="C4" i="13"/>
  <c r="E4" i="13" s="1"/>
  <c r="C3" i="13"/>
  <c r="E3" i="13" s="1"/>
  <c r="E2" i="8"/>
  <c r="C9" i="8"/>
  <c r="C6" i="14" a="1"/>
  <c r="C4" i="14" a="1"/>
  <c r="C5" i="14" a="1"/>
  <c r="C3" i="14" a="1"/>
  <c r="C7" i="14" a="1"/>
  <c r="C2" i="9" a="1"/>
  <c r="C8" i="14" a="1"/>
  <c r="C8" i="14" l="1"/>
  <c r="E8" i="14" s="1"/>
  <c r="C2" i="9"/>
  <c r="C7" i="14"/>
  <c r="E7" i="14" s="1"/>
  <c r="C3" i="14"/>
  <c r="E3" i="14" s="1"/>
  <c r="C5" i="14"/>
  <c r="E5" i="14" s="1"/>
  <c r="C4" i="14"/>
  <c r="E4" i="14" s="1"/>
  <c r="C6" i="14"/>
  <c r="E6" i="14" s="1"/>
  <c r="E9" i="8"/>
  <c r="C9" i="9" l="1"/>
  <c r="E2" i="9"/>
  <c r="C2" i="10" a="1"/>
  <c r="C2" i="10" l="1"/>
  <c r="E9" i="9"/>
  <c r="E2" i="10" l="1"/>
  <c r="C9" i="10"/>
  <c r="C2" i="11" a="1"/>
  <c r="C2" i="11" l="1"/>
  <c r="E9" i="10"/>
  <c r="E2" i="11" l="1"/>
  <c r="C9" i="11"/>
  <c r="C2" i="12" a="1"/>
  <c r="C2" i="12" l="1"/>
  <c r="E9" i="11"/>
  <c r="E2" i="12" l="1"/>
  <c r="C9" i="12"/>
  <c r="C2" i="13" a="1"/>
  <c r="C2" i="13" l="1"/>
  <c r="E9" i="12"/>
  <c r="C9" i="13" l="1"/>
  <c r="E2" i="13"/>
  <c r="C2" i="14" a="1"/>
  <c r="C2" i="14" l="1"/>
  <c r="E9" i="13"/>
  <c r="C9" i="14" l="1"/>
  <c r="E2" i="14"/>
  <c r="E9" i="1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<sst xmlns="http://schemas.openxmlformats.org/spreadsheetml/2006/main" count="564" uniqueCount="39">
  <si>
    <t>Kategoria</t>
  </si>
  <si>
    <t>Jedzenie</t>
  </si>
  <si>
    <t>Transport</t>
  </si>
  <si>
    <t>Subskrypcje</t>
  </si>
  <si>
    <t>Mieszkanie</t>
  </si>
  <si>
    <t>Studia</t>
  </si>
  <si>
    <t>Rozrywka</t>
  </si>
  <si>
    <t>Typ</t>
  </si>
  <si>
    <t>Zdrowie i uroda</t>
  </si>
  <si>
    <t>Odzież</t>
  </si>
  <si>
    <t>Pozostałe wydatki</t>
  </si>
  <si>
    <t>Wypłata</t>
  </si>
  <si>
    <t>Stypendium</t>
  </si>
  <si>
    <t>Inwestycje</t>
  </si>
  <si>
    <t>Swiadczenie</t>
  </si>
  <si>
    <t>Pozostałe wpływy</t>
  </si>
  <si>
    <t>Wydatki</t>
  </si>
  <si>
    <t>Wpływy</t>
  </si>
  <si>
    <t>Bank</t>
  </si>
  <si>
    <t>Konto</t>
  </si>
  <si>
    <t>mBank</t>
  </si>
  <si>
    <t>PKO BP</t>
  </si>
  <si>
    <t>Karta</t>
  </si>
  <si>
    <t>Lokata</t>
  </si>
  <si>
    <t>Skarbonka</t>
  </si>
  <si>
    <t>Kwota</t>
  </si>
  <si>
    <t>Produkt</t>
  </si>
  <si>
    <t>Data</t>
  </si>
  <si>
    <t>Miesiąc</t>
  </si>
  <si>
    <t>Kieszkonkowe</t>
  </si>
  <si>
    <t>Portfel</t>
  </si>
  <si>
    <t>Gotówka</t>
  </si>
  <si>
    <t>Bony</t>
  </si>
  <si>
    <t>PKO  BP</t>
  </si>
  <si>
    <t>Saldo początkowe</t>
  </si>
  <si>
    <t>Operacje</t>
  </si>
  <si>
    <t>Saldo Końcowe</t>
  </si>
  <si>
    <t>Suma</t>
  </si>
  <si>
    <t>Zysk/Strata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</si>
</sst>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87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color auto="1"/>
      </font>
      <numFmt numFmtId="0" formatCode="General"/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auto="1"/>
      </font>
      <fill>
        <patternFill>
          <bgColor rgb="FFFF99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color auto="1"/>
      </font>
      <numFmt numFmtId="0" formatCode="General"/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color auto="1"/>
      </font>
      <fill>
        <patternFill>
          <bgColor rgb="FFFF99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F9999"/>
      <color rgb="FFF7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C957A-ED96-4B4C-8A7B-C0E54DBE8FD3}" name="Tabela1" displayName="Tabela1" ref="A1:B16" totalsRowShown="0">
  <autoFilter ref="A1:B16" xr:uid="{C51C957A-ED96-4B4C-8A7B-C0E54DBE8FD3}"/>
  <tableColumns count="2">
    <tableColumn id="1" xr3:uid="{336AE1A6-0E3F-44D7-AC91-1DC2ED4D902A}" name="Kategoria"/>
    <tableColumn id="2" xr3:uid="{1F2BA61B-43DA-47C7-93B2-36B4F8613393}" name="Typ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87F40-3AFD-43A0-9925-97460D840D02}" name="Tabela3" displayName="Tabela3" ref="D1:E8" totalsRowShown="0">
  <autoFilter ref="D1:E8" xr:uid="{3D487F40-3AFD-43A0-9925-97460D840D02}"/>
  <tableColumns count="2">
    <tableColumn id="1" xr3:uid="{7CB561C5-0134-4D16-902E-15D28BF48B3C}" name="Bank"/>
    <tableColumn id="2" xr3:uid="{70A2C5EA-92AD-4F00-B097-5FF0CAAAD5D3}" name="Produkt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45709C0-2071-41E7-9441-36CD67B52EAE}" name="Tabela8" displayName="Tabela8" ref="A1:G1048576" totalsRowShown="0">
  <autoFilter ref="A1:G1048576" xr:uid="{945709C0-2071-41E7-9441-36CD67B52EAE}"/>
  <tableColumns count="7">
    <tableColumn id="1" xr3:uid="{4E0C1C51-AAB1-4636-8538-CF96EBB40918}" name="Kwota" dataDxfId="84"/>
    <tableColumn id="2" xr3:uid="{980DEB24-C29A-4DBF-ACD6-B0704F52AB56}" name="Bank"/>
    <tableColumn id="3" xr3:uid="{877C89E1-19DC-424E-AC8A-DE9A6CBE29EC}" name="Produkt"/>
    <tableColumn id="4" xr3:uid="{F0AF8409-326E-4FA0-9C37-E23F84E78418}" name="Kategoria"/>
    <tableColumn id="5" xr3:uid="{8C33524B-9D97-40E0-944C-31FF23328076}" name="Typ"/>
    <tableColumn id="6" xr3:uid="{60B2D1C9-5C4C-4303-8067-5B4BFFDA4C7C}" name="Data"/>
    <tableColumn id="7" xr3:uid="{496D6BA4-8020-40A0-99D4-C6CC1B0A257C}" name="Miesiąc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16D3939-C2CC-46A3-BEA2-36B91EF1A529}" name="Tabela6" displayName="Tabela6" ref="A1:E9" totalsRowCount="1">
  <autoFilter ref="A1:E8" xr:uid="{E16D3939-C2CC-46A3-BEA2-36B91EF1A529}"/>
  <tableColumns count="5">
    <tableColumn id="1" xr3:uid="{78C4203B-C594-46AD-BB4D-8F6CBC213E15}" name="Bank" totalsRowLabel="Suma"/>
    <tableColumn id="2" xr3:uid="{F2E090FD-3111-4A4C-8913-7A86C592F8BA}" name="Produkt"/>
    <tableColumn id="3" xr3:uid="{B8A5436A-F7F3-40E3-BB52-32C7A301E83A}" name="Saldo początkowe" totalsRowFunction="sum" dataDxfId="70"/>
    <tableColumn id="4" xr3:uid="{BBF321F2-58D0-4755-8A31-1B43418BF9B7}" name="Operacje" totalsRowFunction="sum" dataDxfId="83" totalsRowDxfId="81">
      <calculatedColumnFormula>SUMIFS(Tabela8[Kwota],Tabela8[Bank],Tabela6[[#This Row],[Bank]],Tabela8[Produkt],Tabela6[[#This Row],[Produkt]],Tabela8[Miesiąc],styczeń!$B$11)</calculatedColumnFormula>
    </tableColumn>
    <tableColumn id="5" xr3:uid="{83651F8A-520C-402B-9C0E-DD5C1B1D95C3}" name="Saldo Końcowe" totalsRowFunction="sum" dataDxfId="82">
      <calculatedColumnFormula>Tabela6[[#This Row],[Saldo początkowe]]+Tabela6[[#This Row],[Operacje]]</calculatedColumnFormula>
    </tableColumn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29A9ACD-3331-4B1C-8286-E897A29B5468}" name="Tabela9" displayName="Tabela9" ref="G1:H16" totalsRowShown="0">
  <autoFilter ref="G1:H16" xr:uid="{F29A9ACD-3331-4B1C-8286-E897A29B5468}"/>
  <tableColumns count="2">
    <tableColumn id="1" xr3:uid="{0BE32233-0B6E-4894-AC8E-DE1AE96B1C08}" name="Kategoria"/>
    <tableColumn id="2" xr3:uid="{794151C0-66E1-4A38-B73C-3F42EDC16E93}" name="Suma" dataDxfId="78">
      <calculatedColumnFormula>SUMIFS(Tabela8[Kwota],Tabela8[Kategoria],Tabela9[[#This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5B25DF3-D112-4DAB-9687-67340DEA13DB}" name="Tabela611" displayName="Tabela611" ref="A1:E9" totalsRowCount="1">
  <autoFilter ref="A1:E8" xr:uid="{E16D3939-C2CC-46A3-BEA2-36B91EF1A529}"/>
  <tableColumns count="5">
    <tableColumn id="1" xr3:uid="{E7288CA4-700C-4D8B-98BD-9B21CCAB39DF}" name="Bank" totalsRowLabel="Suma"/>
    <tableColumn id="2" xr3:uid="{AAA44EC3-D25F-4B3B-80CB-23E8D7EF286F}" name="Produkt"/>
    <tableColumn id="3" xr3:uid="{626CE7A8-274F-46B0-A53A-E4674DE01097}" name="Saldo początkowe" totalsRowFunction="sum" dataDxfId="72" totalsRowDxfId="71">
      <calculatedColumnFormula array="1">INDIRECT(TEXT(DATE(2025,$B$11-1,1),"mmmm")&amp;"!E"&amp;ROW())</calculatedColumnFormula>
    </tableColumn>
    <tableColumn id="4" xr3:uid="{3910E86D-26B1-400D-903B-22938C29D90C}" name="Operacje" totalsRowFunction="sum" dataDxfId="77" totalsRowDxfId="74">
      <calculatedColumnFormula>SUMIFS(Tabela8[Kwota],Tabela8[Bank],Tabela611[[#This Row],[Bank]],Tabela8[Produkt],Tabela611[[#This Row],[Produkt]],Tabela8[Miesiąc],styczeń!$B$11)</calculatedColumnFormula>
    </tableColumn>
    <tableColumn id="5" xr3:uid="{141FA140-BD49-4A53-972A-136232011020}" name="Saldo Końcowe" totalsRowFunction="sum" dataDxfId="76" totalsRowDxfId="73">
      <calculatedColumnFormula>Tabela611[[#This Row],[Saldo początkowe]]+Tabela611[[#This Row],[Operacje]]</calculatedColumnFormula>
    </tableColumn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EF0D908-1BD2-451F-ADAE-9BC7B6EE3A59}" name="Tabela912" displayName="Tabela912" ref="G1:H16" totalsRowShown="0">
  <autoFilter ref="G1:H16" xr:uid="{F29A9ACD-3331-4B1C-8286-E897A29B5468}"/>
  <tableColumns count="2">
    <tableColumn id="1" xr3:uid="{9088E07C-E13E-457B-AEF4-59855DBCC322}" name="Kategoria"/>
    <tableColumn id="2" xr3:uid="{2AF60066-B4EC-4795-BB1C-3A567D54F0D2}" name="Suma" dataDxfId="75">
      <calculatedColumnFormula>SUMIFS(Tabela8[Kwota],Tabela8[Kategoria],Tabela912[[#This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21B7579-4F6C-4131-AACB-944D7F215F5D}" name="Tabela61113" displayName="Tabela61113" ref="A1:E9" totalsRowCount="1">
  <autoFilter ref="A1:E8" xr:uid="{E16D3939-C2CC-46A3-BEA2-36B91EF1A529}"/>
  <tableColumns count="5">
    <tableColumn id="1" xr3:uid="{37645411-B06D-49F3-92D5-4E685F58B2FF}" name="Bank" totalsRowLabel="Suma"/>
    <tableColumn id="2" xr3:uid="{EEB1DD83-BC4F-4388-AAFF-E01C7776DD15}" name="Produkt"/>
    <tableColumn id="3" xr3:uid="{843BB10E-8C98-4198-8213-87DFF4398BE7}" name="Saldo początkowe" totalsRowFunction="sum" dataDxfId="69" totalsRowDxfId="65">
      <calculatedColumnFormula array="1">INDIRECT(TEXT(DATE(2025,$B$11-1,1),"mmmm")&amp;"!E"&amp;ROW())</calculatedColumnFormula>
    </tableColumn>
    <tableColumn id="4" xr3:uid="{A803C830-3E60-4F23-B8FB-0A11914D6B29}" name="Operacje" totalsRowFunction="sum" dataDxfId="68" totalsRowDxfId="64">
      <calculatedColumnFormula>SUMIFS(Tabela8[Kwota],Tabela8[Bank],Tabela61113[[#This Row],[Bank]],Tabela8[Produkt],Tabela61113[[#This Row],[Produkt]],Tabela8[Miesiąc],styczeń!$B$11)</calculatedColumnFormula>
    </tableColumn>
    <tableColumn id="5" xr3:uid="{23C37D80-ED84-43DF-BBE1-9C40859B0489}" name="Saldo Końcowe" totalsRowFunction="sum" dataDxfId="67" totalsRowDxfId="63">
      <calculatedColumnFormula>Tabela61113[[#This Row],[Saldo początkowe]]+Tabela61113[[#This Row],[Operacje]]</calculatedColumnFormula>
    </tableColumn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589CE11-6413-4BC3-A006-4CB6A5DA2F48}" name="Tabela91214" displayName="Tabela91214" ref="G1:H16" totalsRowShown="0">
  <autoFilter ref="G1:H16" xr:uid="{F29A9ACD-3331-4B1C-8286-E897A29B5468}"/>
  <tableColumns count="2">
    <tableColumn id="1" xr3:uid="{4A448BAC-8C4D-4892-88E6-EA22F5375370}" name="Kategoria"/>
    <tableColumn id="2" xr3:uid="{5934BBFB-679C-4B4E-A431-F04C171B61DC}" name="Suma" dataDxfId="66">
      <calculatedColumnFormula>SUMIFS(Tabela8[Kwota],Tabela8[Kategoria],Tabela91214[[#This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986CF3F-1807-463F-995F-D2DF015B0DF3}" name="Tabela6111315" displayName="Tabela6111315" ref="A1:E9" totalsRowCount="1">
  <autoFilter ref="A1:E8" xr:uid="{E16D3939-C2CC-46A3-BEA2-36B91EF1A529}"/>
  <tableColumns count="5">
    <tableColumn id="1" xr3:uid="{779FF6B5-9012-4943-8476-8316DBA0B857}" name="Bank" totalsRowLabel="Suma"/>
    <tableColumn id="2" xr3:uid="{91109BD3-4A5B-4B19-B615-F9DBAFB907D0}" name="Produkt"/>
    <tableColumn id="3" xr3:uid="{CBD97358-6889-4559-93ED-214AF3F40DCF}" name="Saldo początkowe" totalsRowFunction="sum" dataDxfId="61" totalsRowDxfId="62">
      <calculatedColumnFormula array="1">INDIRECT(TEXT(DATE(2025,$B$11-1,1),"mmmm")&amp;"!E"&amp;ROW())</calculatedColumnFormula>
    </tableColumn>
    <tableColumn id="4" xr3:uid="{649B2E2F-D551-481E-9747-07943213855D}" name="Operacje" totalsRowFunction="sum" dataDxfId="59" totalsRowDxfId="60">
      <calculatedColumnFormula>SUMIFS(Tabela8[Kwota],Tabela8[Bank],Tabela6111315[[#This Row],[Bank]],Tabela8[Produkt],Tabela6111315[[#This Row],[Produkt]],Tabela8[Miesiąc],styczeń!$B$11)</calculatedColumnFormula>
    </tableColumn>
    <tableColumn id="5" xr3:uid="{A6560594-534C-4D44-B82B-A0B05D76BAE9}" name="Saldo Końcowe" totalsRowFunction="sum" dataDxfId="57" totalsRowDxfId="58">
      <calculatedColumnFormula>Tabela6111315[[#This Row],[Saldo początkowe]]+Tabela6111315[[#This Row],[Operacje]]</calculatedColumnFormula>
    </tableColumn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0AE5ECC-2899-4E6A-B89E-85437BC47EDC}" name="Tabela9121416" displayName="Tabela9121416" ref="G1:H16" totalsRowShown="0">
  <autoFilter ref="G1:H16" xr:uid="{F29A9ACD-3331-4B1C-8286-E897A29B5468}"/>
  <tableColumns count="2">
    <tableColumn id="1" xr3:uid="{9FA5E80D-85BC-4FAD-988D-EC534F890877}" name="Kategoria"/>
    <tableColumn id="2" xr3:uid="{14C6FE39-6676-431B-903F-2137E4C09EB0}" name="Suma" dataDxfId="56">
      <calculatedColumnFormula>SUMIFS(Tabela8[Kwota],Tabela8[Kategoria],Tabela9121416[[#This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5949407-6F32-49F2-8D93-FE05C288C9AB}" name="Tabela611131517" displayName="Tabela611131517" ref="A1:E9" totalsRowCount="1">
  <autoFilter ref="A1:E8" xr:uid="{E16D3939-C2CC-46A3-BEA2-36B91EF1A529}"/>
  <tableColumns count="5">
    <tableColumn id="1" xr3:uid="{63720E83-281F-429E-8A0A-C4499B5F9D03}" name="Bank" totalsRowLabel="Suma"/>
    <tableColumn id="2" xr3:uid="{6C7DF0EF-5CC5-4DE8-9420-9B0E7FDD5CB7}" name="Produkt"/>
    <tableColumn id="3" xr3:uid="{EE5B9F58-7FF3-43E6-8FA9-1C7BE650FEC1}" name="Saldo początkowe" totalsRowFunction="sum" dataDxfId="54" totalsRowDxfId="55">
      <calculatedColumnFormula array="1">INDIRECT(TEXT(DATE(2025,$B$11-1,1),"mmmm")&amp;"!E"&amp;ROW())</calculatedColumnFormula>
    </tableColumn>
    <tableColumn id="4" xr3:uid="{F6C15037-725D-4136-B898-B600E32610D7}" name="Operacje" totalsRowFunction="sum" dataDxfId="52" totalsRowDxfId="53">
      <calculatedColumnFormula>SUMIFS(Tabela8[Kwota],Tabela8[Bank],Tabela611131517[[#This Row],[Bank]],Tabela8[Produkt],Tabela611131517[[#This Row],[Produkt]],Tabela8[Miesiąc],styczeń!$B$11)</calculatedColumnFormula>
    </tableColumn>
    <tableColumn id="5" xr3:uid="{5859F20D-7D4D-4803-9758-2EE2EE267602}" name="Saldo Końcowe" totalsRowFunction="sum" dataDxfId="50" totalsRowDxfId="51">
      <calculatedColumnFormula>Tabela611131517[[#This Row],[Saldo początkowe]]+Tabela611131517[[#This Row],[Operacje]]</calculatedColumnFormula>
    </tableColumn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B44216-911C-4FBC-93CB-5C6BBF24293D}" name="Tabela912141618" displayName="Tabela912141618" ref="G1:H16" totalsRowShown="0">
  <autoFilter ref="G1:H16" xr:uid="{F29A9ACD-3331-4B1C-8286-E897A29B5468}"/>
  <tableColumns count="2">
    <tableColumn id="1" xr3:uid="{B3724EC3-343E-43A6-801E-CA6402708AB9}" name="Kategoria"/>
    <tableColumn id="2" xr3:uid="{56F83122-3034-4050-97F6-4457C97CC737}" name="Suma" dataDxfId="49">
      <calculatedColumnFormula>SUMIFS(Tabela8[Kwota],Tabela8[Kategoria],Tabela912141618[[#This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D26DC46-CD18-4CF3-9EBE-AD54C577BA40}" name="Tabela61113151719" displayName="Tabela61113151719" ref="A1:E9" totalsRowCount="1">
  <autoFilter ref="A1:E8" xr:uid="{E16D3939-C2CC-46A3-BEA2-36B91EF1A529}"/>
  <tableColumns count="5">
    <tableColumn id="1" xr3:uid="{D1639E6E-F7EB-402B-AB33-6CDD3F06C7F7}" name="Bank" totalsRowLabel="Suma"/>
    <tableColumn id="2" xr3:uid="{50C5AD20-1FAD-445F-ADE0-E47AE96BB860}" name="Produkt"/>
    <tableColumn id="3" xr3:uid="{F120EB53-1A3B-46A8-826E-194A3F6C8583}" name="Saldo początkowe" totalsRowFunction="sum" dataDxfId="47" totalsRowDxfId="48">
      <calculatedColumnFormula array="1">INDIRECT(TEXT(DATE(2025,$B$11-1,1),"mmmm")&amp;"!E"&amp;ROW())</calculatedColumnFormula>
    </tableColumn>
    <tableColumn id="4" xr3:uid="{55D1331E-B3A5-477A-AB15-D0431668F188}" name="Operacje" totalsRowFunction="sum" dataDxfId="45" totalsRowDxfId="46">
      <calculatedColumnFormula>SUMIFS(Tabela8[Kwota],Tabela8[Bank],Tabela61113151719[[#This Row],[Bank]],Tabela8[Produkt],Tabela61113151719[[#This Row],[Produkt]],Tabela8[Miesiąc],styczeń!$B$11)</calculatedColumnFormula>
    </tableColumn>
    <tableColumn id="5" xr3:uid="{0E785C8E-D872-4AF5-AB56-23143FC9BA4B}" name="Saldo Końcowe" totalsRowFunction="sum" dataDxfId="43" totalsRowDxfId="44">
      <calculatedColumnFormula>Tabela61113151719[[#This Row],[Saldo początkowe]]+Tabela61113151719[[#This Row],[Operacje]]</calculatedColumnFormula>
    </tableColumn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CC22C02-8AFB-4128-B506-96E9BE1A7887}" name="Tabela91214161820" displayName="Tabela91214161820" ref="G1:H16" totalsRowShown="0">
  <autoFilter ref="G1:H16" xr:uid="{F29A9ACD-3331-4B1C-8286-E897A29B5468}"/>
  <tableColumns count="2">
    <tableColumn id="1" xr3:uid="{44BCA987-79B8-415B-A4D8-41E863C374D1}" name="Kategoria"/>
    <tableColumn id="2" xr3:uid="{72FFD09F-D133-4CF2-B3DE-04B5AD63ED4C}" name="Suma" dataDxfId="42">
      <calculatedColumnFormula>SUMIFS(Tabela8[Kwota],Tabela8[Kategoria],Tabela91214161820[[#This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0BB2018-7E75-4C1D-8044-356A6F71974D}" name="Tabela6111315171921" displayName="Tabela6111315171921" ref="A1:E9" totalsRowCount="1">
  <autoFilter ref="A1:E8" xr:uid="{E16D3939-C2CC-46A3-BEA2-36B91EF1A529}"/>
  <tableColumns count="5">
    <tableColumn id="1" xr3:uid="{589D1278-CCB2-47E4-BA4A-6308EAFBCB38}" name="Bank" totalsRowLabel="Suma"/>
    <tableColumn id="2" xr3:uid="{D61D89AE-1D22-45A8-BC5D-D6C3390EDD81}" name="Produkt"/>
    <tableColumn id="3" xr3:uid="{CE45C68F-D95E-4FC8-BB5A-7EFB1459A0F9}" name="Saldo początkowe" totalsRowFunction="sum" dataDxfId="40" totalsRowDxfId="41">
      <calculatedColumnFormula array="1">INDIRECT(TEXT(DATE(2025,$B$11-1,1),"mmmm")&amp;"!E"&amp;ROW())</calculatedColumnFormula>
    </tableColumn>
    <tableColumn id="4" xr3:uid="{CDA4CB3E-7EAA-48A3-BDDD-0D23B22C95A5}" name="Operacje" totalsRowFunction="sum" dataDxfId="38" totalsRowDxfId="39">
      <calculatedColumnFormula>SUMIFS(Tabela8[Kwota],Tabela8[Bank],Tabela6111315171921[[#This Row],[Bank]],Tabela8[Produkt],Tabela6111315171921[[#This Row],[Produkt]],Tabela8[Miesiąc],styczeń!$B$11)</calculatedColumnFormula>
    </tableColumn>
    <tableColumn id="5" xr3:uid="{D407395D-4B82-4DF5-9316-D134C209A9F2}" name="Saldo Końcowe" totalsRowFunction="sum" dataDxfId="36" totalsRowDxfId="37">
      <calculatedColumnFormula>Tabela6111315171921[[#This Row],[Saldo początkowe]]+Tabela6111315171921[[#This Row],[Operacje]]</calculatedColumnFormula>
    </tableColumn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5971063-D04A-4FC2-9FEE-A4EF434B1AE6}" name="Tabela9121416182022" displayName="Tabela9121416182022" ref="G1:H16" totalsRowShown="0">
  <autoFilter ref="G1:H16" xr:uid="{F29A9ACD-3331-4B1C-8286-E897A29B5468}"/>
  <tableColumns count="2">
    <tableColumn id="1" xr3:uid="{C2F9D6CB-8D46-421B-841F-5A30A772FA54}" name="Kategoria"/>
    <tableColumn id="2" xr3:uid="{C68D0F26-1F58-47DB-BF97-614A0596BDC4}" name="Suma" dataDxfId="35">
      <calculatedColumnFormula>SUMIFS(Tabela8[Kwota],Tabela8[Kategoria],Tabela9121416182022[[#This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E05931E-3630-46F3-9599-541C8438CEB7}" name="Tabela611131517192123" displayName="Tabela611131517192123" ref="A1:E9" totalsRowCount="1">
  <autoFilter ref="A1:E8" xr:uid="{E16D3939-C2CC-46A3-BEA2-36B91EF1A529}"/>
  <tableColumns count="5">
    <tableColumn id="1" xr3:uid="{ACD8945F-5392-4ECF-A698-CB60A32F9E94}" name="Bank" totalsRowLabel="Suma"/>
    <tableColumn id="2" xr3:uid="{AC379D24-BF71-446E-80E4-C639410B06C8}" name="Produkt"/>
    <tableColumn id="3" xr3:uid="{66E1A336-09EF-408E-8277-2AC33619A190}" name="Saldo początkowe" totalsRowFunction="sum" dataDxfId="33" totalsRowDxfId="34">
      <calculatedColumnFormula array="1">INDIRECT(TEXT(DATE(2025,$B$11-1,1),"mmmm")&amp;"!E"&amp;ROW())</calculatedColumnFormula>
    </tableColumn>
    <tableColumn id="4" xr3:uid="{EE9E2945-D5C0-4208-800A-AF23C2D294E7}" name="Operacje" totalsRowFunction="sum" dataDxfId="31" totalsRowDxfId="32">
      <calculatedColumnFormula>SUMIFS(Tabela8[Kwota],Tabela8[Bank],Tabela611131517192123[[#This Row],[Bank]],Tabela8[Produkt],Tabela611131517192123[[#This Row],[Produkt]],Tabela8[Miesiąc],styczeń!$B$11)</calculatedColumnFormula>
    </tableColumn>
    <tableColumn id="5" xr3:uid="{26181B0F-7196-4A01-A48E-EA48B3F416EC}" name="Saldo Końcowe" totalsRowFunction="sum" dataDxfId="29" totalsRowDxfId="30">
      <calculatedColumnFormula>Tabela611131517192123[[#This Row],[Saldo początkowe]]+Tabela611131517192123[[#This Row],[Operacje]]</calculatedColumnFormula>
    </tableColumn>
  </tableColumns>
  <tableStyleInfo name="TableStyleMedium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3C2671A-343F-4808-AC60-E71D963DA1B0}" name="Tabela912141618202224" displayName="Tabela912141618202224" ref="G1:H16" totalsRowShown="0">
  <autoFilter ref="G1:H16" xr:uid="{F29A9ACD-3331-4B1C-8286-E897A29B5468}"/>
  <tableColumns count="2">
    <tableColumn id="1" xr3:uid="{E5F7B715-3AE9-452D-911F-746A39EAE0E1}" name="Kategoria"/>
    <tableColumn id="2" xr3:uid="{339A92CF-EDC8-4558-89CA-52ECE0AA134C}" name="Suma" dataDxfId="28">
      <calculatedColumnFormula>SUMIFS(Tabela8[Kwota],Tabela8[Kategoria],Tabela912141618202224[[#This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F312377-A91A-4FFE-9D2C-552DBCE79D9A}" name="Tabela61113151719212325" displayName="Tabela61113151719212325" ref="A1:E9" totalsRowCount="1">
  <autoFilter ref="A1:E8" xr:uid="{E16D3939-C2CC-46A3-BEA2-36B91EF1A529}"/>
  <tableColumns count="5">
    <tableColumn id="1" xr3:uid="{FBB1A55F-784D-455D-8133-AF212378F44E}" name="Bank" totalsRowLabel="Suma"/>
    <tableColumn id="2" xr3:uid="{42D0E4AD-7F7A-4319-8EA1-002ADD4DC9C9}" name="Produkt"/>
    <tableColumn id="3" xr3:uid="{1497EA0A-64FB-49AF-B807-6984981E36CE}" name="Saldo początkowe" totalsRowFunction="sum" dataDxfId="26" totalsRowDxfId="27">
      <calculatedColumnFormula array="1">INDIRECT(TEXT(DATE(2025,$B$11-1,1),"mmmm")&amp;"!E"&amp;ROW())</calculatedColumnFormula>
    </tableColumn>
    <tableColumn id="4" xr3:uid="{EDD8EE2C-117C-4CC2-9A49-661A07EC64F7}" name="Operacje" totalsRowFunction="sum" dataDxfId="24" totalsRowDxfId="25">
      <calculatedColumnFormula>SUMIFS(Tabela8[Kwota],Tabela8[Bank],Tabela61113151719212325[[#This Row],[Bank]],Tabela8[Produkt],Tabela61113151719212325[[#This Row],[Produkt]],Tabela8[Miesiąc],styczeń!$B$11)</calculatedColumnFormula>
    </tableColumn>
    <tableColumn id="5" xr3:uid="{1FC44E51-84D9-4AFC-BA00-65DA6684AA1B}" name="Saldo Końcowe" totalsRowFunction="sum" dataDxfId="22" totalsRowDxfId="23">
      <calculatedColumnFormula>Tabela61113151719212325[[#This Row],[Saldo początkowe]]+Tabela61113151719212325[[#This Row],[Operacje]]</calculatedColumnFormula>
    </tableColumn>
  </tableColumns>
  <tableStyleInfo name="TableStyleMedium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27FDDF2-0D6A-4CBC-A6D1-97F270F42987}" name="Tabela91214161820222426" displayName="Tabela91214161820222426" ref="G1:H16" totalsRowShown="0">
  <autoFilter ref="G1:H16" xr:uid="{F29A9ACD-3331-4B1C-8286-E897A29B5468}"/>
  <tableColumns count="2">
    <tableColumn id="1" xr3:uid="{C58DB7B3-681B-4B3C-A10A-88F965803937}" name="Kategoria"/>
    <tableColumn id="2" xr3:uid="{B2F8C0CD-D7A0-43CA-A3B6-F5E870C5AD63}" name="Suma" dataDxfId="21">
      <calculatedColumnFormula>SUMIFS(Tabela8[Kwota],Tabela8[Kategoria],Tabela91214161820222426[[#This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FCF09CC-4891-4870-AAA2-61E4FFAC7021}" name="Tabela6111315171921232527" displayName="Tabela6111315171921232527" ref="A1:E9" totalsRowCount="1">
  <autoFilter ref="A1:E8" xr:uid="{E16D3939-C2CC-46A3-BEA2-36B91EF1A529}"/>
  <tableColumns count="5">
    <tableColumn id="1" xr3:uid="{AC006084-7BB1-4DB5-83DD-4FF6340D5C59}" name="Bank" totalsRowLabel="Suma"/>
    <tableColumn id="2" xr3:uid="{B8E29865-F660-43F6-A092-AECF7FFAA2D2}" name="Produkt"/>
    <tableColumn id="3" xr3:uid="{2032622C-FFE2-4258-B250-8ECA177B5D3F}" name="Saldo początkowe" totalsRowFunction="sum" dataDxfId="19" totalsRowDxfId="20">
      <calculatedColumnFormula array="1">INDIRECT(TEXT(DATE(2025,$B$11-1,1),"mmmm")&amp;"!E"&amp;ROW())</calculatedColumnFormula>
    </tableColumn>
    <tableColumn id="4" xr3:uid="{AE830B34-13AA-4E89-958A-C5EBDDE2474D}" name="Operacje" totalsRowFunction="sum" dataDxfId="17" totalsRowDxfId="18">
      <calculatedColumnFormula>SUMIFS(Tabela8[Kwota],Tabela8[Bank],Tabela6111315171921232527[[#This Row],[Bank]],Tabela8[Produkt],Tabela6111315171921232527[[#This Row],[Produkt]],Tabela8[Miesiąc],styczeń!$B$11)</calculatedColumnFormula>
    </tableColumn>
    <tableColumn id="5" xr3:uid="{76897BB1-FCE0-415B-BB8D-4936C7E9832F}" name="Saldo Końcowe" totalsRowFunction="sum" dataDxfId="15" totalsRowDxfId="16">
      <calculatedColumnFormula>Tabela6111315171921232527[[#This Row],[Saldo początkowe]]+Tabela6111315171921232527[[#This Row],[Operacje]]</calculatedColumnFormula>
    </tableColumn>
  </tableColumns>
  <tableStyleInfo name="TableStyleMedium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EB816ED0-2E79-4AAE-9395-18F97E8229F3}" name="Tabela9121416182022242628" displayName="Tabela9121416182022242628" ref="G1:H16" totalsRowShown="0">
  <autoFilter ref="G1:H16" xr:uid="{F29A9ACD-3331-4B1C-8286-E897A29B5468}"/>
  <tableColumns count="2">
    <tableColumn id="1" xr3:uid="{E6FA75C7-849A-412B-A6FC-43336DEECBCE}" name="Kategoria"/>
    <tableColumn id="2" xr3:uid="{88810E9E-7452-4512-982E-6788CAF7416A}" name="Suma" dataDxfId="14">
      <calculatedColumnFormula>SUMIFS(Tabela8[Kwota],Tabela8[Kategoria],Tabela9121416182022242628[[#This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D1E1DDC-FC1E-4560-B7F4-C90A1B66BF16}" name="Tabela611131517192123252729" displayName="Tabela611131517192123252729" ref="A1:E9" totalsRowCount="1">
  <autoFilter ref="A1:E8" xr:uid="{E16D3939-C2CC-46A3-BEA2-36B91EF1A529}"/>
  <tableColumns count="5">
    <tableColumn id="1" xr3:uid="{3ADFFDAF-4B52-4F85-99EF-36F557DFDF4E}" name="Bank" totalsRowLabel="Suma"/>
    <tableColumn id="2" xr3:uid="{4E81DB4A-0BEB-40E5-B56E-BE15EA6E7A21}" name="Produkt"/>
    <tableColumn id="3" xr3:uid="{AFEA6A81-02AA-4C29-8C88-5C6E430A0F14}" name="Saldo początkowe" totalsRowFunction="sum" dataDxfId="12" totalsRowDxfId="13">
      <calculatedColumnFormula array="1">INDIRECT(TEXT(DATE(2025,$B$11-1,1),"mmmm")&amp;"!E"&amp;ROW())</calculatedColumnFormula>
    </tableColumn>
    <tableColumn id="4" xr3:uid="{862DCAF3-8B72-4841-B888-254A0A8A42EE}" name="Operacje" totalsRowFunction="sum" dataDxfId="10" totalsRowDxfId="11">
      <calculatedColumnFormula>SUMIFS(Tabela8[Kwota],Tabela8[Bank],Tabela611131517192123252729[[#This Row],[Bank]],Tabela8[Produkt],Tabela611131517192123252729[[#This Row],[Produkt]],Tabela8[Miesiąc],styczeń!$B$11)</calculatedColumnFormula>
    </tableColumn>
    <tableColumn id="5" xr3:uid="{9CD0D778-082A-4320-B55F-2901F670DCCE}" name="Saldo Końcowe" totalsRowFunction="sum" dataDxfId="8" totalsRowDxfId="9">
      <calculatedColumnFormula>Tabela611131517192123252729[[#This Row],[Saldo początkowe]]+Tabela611131517192123252729[[#This Row],[Operacje]]</calculatedColumnFormula>
    </tableColumn>
  </tableColumns>
  <tableStyleInfo name="TableStyleMedium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E6C16292-8DF8-4896-9C9E-B5F9C1A558AC}" name="Tabela912141618202224262830" displayName="Tabela912141618202224262830" ref="G1:H16" totalsRowShown="0">
  <autoFilter ref="G1:H16" xr:uid="{F29A9ACD-3331-4B1C-8286-E897A29B5468}"/>
  <tableColumns count="2">
    <tableColumn id="1" xr3:uid="{E1D24F23-6C59-4D63-8EAA-495C26530C7B}" name="Kategoria"/>
    <tableColumn id="2" xr3:uid="{5AA666BF-DE2E-448D-9F8D-DC06B27595B6}" name="Suma" dataDxfId="7">
      <calculatedColumnFormula>SUMIFS(Tabela8[Kwota],Tabela8[Kategoria],Tabela912141618202224262830[[#This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CFC6B26-9E53-401A-AC36-590D62014429}" name="Tabela61113151719212325272931" displayName="Tabela61113151719212325272931" ref="A1:E9" totalsRowCount="1">
  <autoFilter ref="A1:E8" xr:uid="{E16D3939-C2CC-46A3-BEA2-36B91EF1A529}"/>
  <tableColumns count="5">
    <tableColumn id="1" xr3:uid="{77B5391A-1710-4381-82D0-A7C6236C621F}" name="Bank" totalsRowLabel="Suma"/>
    <tableColumn id="2" xr3:uid="{3A3D8124-D079-4F5E-B63C-4F397B9D7DB9}" name="Produkt"/>
    <tableColumn id="3" xr3:uid="{636C7152-A098-4A4C-92DE-38DB74CA5347}" name="Saldo początkowe" totalsRowFunction="sum" dataDxfId="5" totalsRowDxfId="6">
      <calculatedColumnFormula array="1">INDIRECT(TEXT(DATE(2025,$B$11-1,1),"mmmm")&amp;"!E"&amp;ROW())</calculatedColumnFormula>
    </tableColumn>
    <tableColumn id="4" xr3:uid="{8F3D5FB5-A775-4F06-93AF-1C47088BFBA3}" name="Operacje" totalsRowFunction="sum" dataDxfId="3" totalsRowDxfId="4">
      <calculatedColumnFormula>SUMIFS(Tabela8[Kwota],Tabela8[Bank],Tabela61113151719212325272931[[#This Row],[Bank]],Tabela8[Produkt],Tabela61113151719212325272931[[#This Row],[Produkt]],Tabela8[Miesiąc],styczeń!$B$11)</calculatedColumnFormula>
    </tableColumn>
    <tableColumn id="5" xr3:uid="{A438C37A-2200-4A68-8176-E9DCDE59CD40}" name="Saldo Końcowe" totalsRowFunction="sum" dataDxfId="1" totalsRowDxfId="2">
      <calculatedColumnFormula>Tabela61113151719212325272931[[#This Row],[Saldo początkowe]]+Tabela61113151719212325272931[[#This Row],[Operacje]]</calculatedColumnFormula>
    </tableColumn>
  </tableColumns>
  <tableStyleInfo name="TableStyleMedium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84FDBD7-7B2B-494E-8D79-C9F9992E7D7F}" name="Tabela91214161820222426283032" displayName="Tabela91214161820222426283032" ref="G1:H16" totalsRowShown="0">
  <autoFilter ref="G1:H16" xr:uid="{F29A9ACD-3331-4B1C-8286-E897A29B5468}"/>
  <tableColumns count="2">
    <tableColumn id="1" xr3:uid="{B8787B82-A329-4987-8B78-A335FF3D18A3}" name="Kategoria"/>
    <tableColumn id="2" xr3:uid="{1289D7EF-C31A-41DE-ACF9-11920FC5FA38}" name="Suma" dataDxfId="0">
      <calculatedColumnFormula>SUMIFS(Tabela8[Kwota],Tabela8[Kategoria],Tabela91214161820222426283032[[#This Row],[Kategoria]],Tabela8[Miesiąc],styczeń!$B$11)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D9C7-0485-4C73-8E33-21A0B9F8FD36}">
  <dimension ref="A1:I16"/>
  <sheetViews>
    <sheetView workbookViewId="0">
      <selection sqref="A1:A16"/>
    </sheetView>
  </sheetViews>
  <sheetFormatPr defaultRowHeight="15" x14ac:dyDescent="0.25"/>
  <cols>
    <col min="1" max="1" width="17.140625" customWidth="1"/>
    <col min="2" max="2" width="12" customWidth="1"/>
    <col min="5" max="5" width="10.140625" customWidth="1"/>
    <col min="8" max="8" width="10.85546875" customWidth="1"/>
  </cols>
  <sheetData>
    <row r="1" spans="1:9" x14ac:dyDescent="0.25">
      <c r="A1" t="s">
        <v>0</v>
      </c>
      <c r="B1" t="s">
        <v>7</v>
      </c>
      <c r="D1" t="s">
        <v>18</v>
      </c>
      <c r="E1" t="s">
        <v>26</v>
      </c>
      <c r="G1" t="s">
        <v>20</v>
      </c>
      <c r="H1" t="s">
        <v>21</v>
      </c>
      <c r="I1" t="s">
        <v>30</v>
      </c>
    </row>
    <row r="2" spans="1:9" x14ac:dyDescent="0.25">
      <c r="A2" t="s">
        <v>1</v>
      </c>
      <c r="B2" t="s">
        <v>16</v>
      </c>
      <c r="D2" t="s">
        <v>20</v>
      </c>
      <c r="E2" t="s">
        <v>19</v>
      </c>
      <c r="G2" t="s">
        <v>19</v>
      </c>
      <c r="H2" t="s">
        <v>19</v>
      </c>
      <c r="I2" t="s">
        <v>31</v>
      </c>
    </row>
    <row r="3" spans="1:9" x14ac:dyDescent="0.25">
      <c r="A3" t="s">
        <v>2</v>
      </c>
      <c r="B3" t="s">
        <v>16</v>
      </c>
      <c r="D3" t="s">
        <v>20</v>
      </c>
      <c r="E3" t="s">
        <v>22</v>
      </c>
      <c r="G3" t="s">
        <v>22</v>
      </c>
      <c r="H3" t="s">
        <v>24</v>
      </c>
      <c r="I3" t="s">
        <v>32</v>
      </c>
    </row>
    <row r="4" spans="1:9" x14ac:dyDescent="0.25">
      <c r="A4" t="s">
        <v>3</v>
      </c>
      <c r="B4" t="s">
        <v>16</v>
      </c>
      <c r="D4" t="s">
        <v>20</v>
      </c>
      <c r="E4" t="s">
        <v>23</v>
      </c>
      <c r="G4" t="s">
        <v>23</v>
      </c>
    </row>
    <row r="5" spans="1:9" x14ac:dyDescent="0.25">
      <c r="A5" t="s">
        <v>4</v>
      </c>
      <c r="B5" t="s">
        <v>16</v>
      </c>
      <c r="D5" t="s">
        <v>33</v>
      </c>
      <c r="E5" t="s">
        <v>19</v>
      </c>
    </row>
    <row r="6" spans="1:9" x14ac:dyDescent="0.25">
      <c r="A6" t="s">
        <v>5</v>
      </c>
      <c r="B6" t="s">
        <v>16</v>
      </c>
      <c r="D6" t="s">
        <v>33</v>
      </c>
      <c r="E6" t="s">
        <v>24</v>
      </c>
    </row>
    <row r="7" spans="1:9" x14ac:dyDescent="0.25">
      <c r="A7" t="s">
        <v>6</v>
      </c>
      <c r="B7" t="s">
        <v>16</v>
      </c>
      <c r="D7" t="s">
        <v>30</v>
      </c>
      <c r="E7" t="s">
        <v>31</v>
      </c>
    </row>
    <row r="8" spans="1:9" x14ac:dyDescent="0.25">
      <c r="A8" t="s">
        <v>8</v>
      </c>
      <c r="B8" t="s">
        <v>16</v>
      </c>
      <c r="D8" t="s">
        <v>30</v>
      </c>
      <c r="E8" t="s">
        <v>32</v>
      </c>
    </row>
    <row r="9" spans="1:9" x14ac:dyDescent="0.25">
      <c r="A9" t="s">
        <v>9</v>
      </c>
      <c r="B9" t="s">
        <v>16</v>
      </c>
    </row>
    <row r="10" spans="1:9" x14ac:dyDescent="0.25">
      <c r="A10" t="s">
        <v>10</v>
      </c>
      <c r="B10" t="s">
        <v>16</v>
      </c>
    </row>
    <row r="11" spans="1:9" x14ac:dyDescent="0.25">
      <c r="A11" t="s">
        <v>11</v>
      </c>
      <c r="B11" t="s">
        <v>17</v>
      </c>
    </row>
    <row r="12" spans="1:9" x14ac:dyDescent="0.25">
      <c r="A12" t="s">
        <v>29</v>
      </c>
      <c r="B12" t="s">
        <v>17</v>
      </c>
    </row>
    <row r="13" spans="1:9" x14ac:dyDescent="0.25">
      <c r="A13" t="s">
        <v>12</v>
      </c>
      <c r="B13" t="s">
        <v>17</v>
      </c>
    </row>
    <row r="14" spans="1:9" x14ac:dyDescent="0.25">
      <c r="A14" t="s">
        <v>13</v>
      </c>
      <c r="B14" t="s">
        <v>17</v>
      </c>
    </row>
    <row r="15" spans="1:9" x14ac:dyDescent="0.25">
      <c r="A15" t="s">
        <v>14</v>
      </c>
      <c r="B15" t="s">
        <v>17</v>
      </c>
    </row>
    <row r="16" spans="1:9" x14ac:dyDescent="0.25">
      <c r="A16" t="s">
        <v>15</v>
      </c>
      <c r="B16" t="s">
        <v>17</v>
      </c>
    </row>
  </sheetData>
  <conditionalFormatting sqref="A2:B16">
    <cfRule type="expression" dxfId="86" priority="1">
      <formula>$B2="Wydatki"</formula>
    </cfRule>
    <cfRule type="expression" dxfId="85" priority="2">
      <formula>$B2="Wpływy"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73CE-497E-4680-B2DE-E299555E1BAF}">
  <dimension ref="A1:G80"/>
  <sheetViews>
    <sheetView zoomScale="190" zoomScaleNormal="190" workbookViewId="0">
      <selection activeCell="I7" sqref="I7"/>
    </sheetView>
  </sheetViews>
  <sheetFormatPr defaultRowHeight="15" x14ac:dyDescent="0.25"/>
  <cols>
    <col min="1" max="1" width="9.140625" style="2"/>
    <col min="3" max="4" width="10.42578125" customWidth="1"/>
    <col min="6" max="6" width="11.5703125" customWidth="1"/>
    <col min="9" max="9" width="15.85546875" customWidth="1"/>
  </cols>
  <sheetData>
    <row r="1" spans="1:7" x14ac:dyDescent="0.25">
      <c r="A1" s="2" t="s">
        <v>25</v>
      </c>
      <c r="B1" t="s">
        <v>18</v>
      </c>
      <c r="C1" t="s">
        <v>26</v>
      </c>
      <c r="D1" t="s">
        <v>0</v>
      </c>
      <c r="E1" t="s">
        <v>7</v>
      </c>
      <c r="F1" t="s">
        <v>27</v>
      </c>
      <c r="G1" t="s">
        <v>28</v>
      </c>
    </row>
    <row r="2" spans="1:7" x14ac:dyDescent="0.25">
      <c r="A2" s="2">
        <v>-50</v>
      </c>
      <c r="B2" t="s">
        <v>20</v>
      </c>
      <c r="C2" t="s">
        <v>22</v>
      </c>
      <c r="D2" t="s">
        <v>6</v>
      </c>
      <c r="E2" t="str">
        <f>_xlfn.XLOOKUP(D2,Tabela1[Kategoria],Tabela1[Typ],"",0,1)</f>
        <v>Wydatki</v>
      </c>
      <c r="F2" s="1">
        <v>45296</v>
      </c>
      <c r="G2">
        <f>IF(ISBLANK(F2),"",MONTH(F2))</f>
        <v>1</v>
      </c>
    </row>
    <row r="3" spans="1:7" x14ac:dyDescent="0.25">
      <c r="B3" t="s">
        <v>20</v>
      </c>
      <c r="C3" t="s">
        <v>23</v>
      </c>
      <c r="D3" t="s">
        <v>29</v>
      </c>
      <c r="E3" t="str">
        <f>_xlfn.XLOOKUP(D3,Tabela1[Kategoria],Tabela1[Typ],"",0,1)</f>
        <v>Wpływy</v>
      </c>
    </row>
    <row r="4" spans="1:7" x14ac:dyDescent="0.25">
      <c r="B4" t="s">
        <v>21</v>
      </c>
      <c r="E4" t="str">
        <f>_xlfn.XLOOKUP(D4,Tabela1[Kategoria],Tabela1[Typ],"",0,1)</f>
        <v/>
      </c>
    </row>
    <row r="5" spans="1:7" x14ac:dyDescent="0.25">
      <c r="E5" t="str">
        <f>_xlfn.XLOOKUP(D5,Tabela1[Kategoria],Tabela1[Typ],"",0,1)</f>
        <v/>
      </c>
    </row>
    <row r="6" spans="1:7" x14ac:dyDescent="0.25">
      <c r="E6" t="str">
        <f>_xlfn.XLOOKUP(D6,Tabela1[Kategoria],Tabela1[Typ],"",0,1)</f>
        <v/>
      </c>
    </row>
    <row r="7" spans="1:7" x14ac:dyDescent="0.25">
      <c r="E7" t="str">
        <f>_xlfn.XLOOKUP(D7,Tabela1[Kategoria],Tabela1[Typ],"",0,1)</f>
        <v/>
      </c>
    </row>
    <row r="8" spans="1:7" x14ac:dyDescent="0.25">
      <c r="E8" t="str">
        <f>_xlfn.XLOOKUP(D8,Tabela1[Kategoria],Tabela1[Typ],"",0,1)</f>
        <v/>
      </c>
    </row>
    <row r="9" spans="1:7" x14ac:dyDescent="0.25">
      <c r="E9" t="str">
        <f>_xlfn.XLOOKUP(D9,Tabela1[Kategoria],Tabela1[Typ],"",0,1)</f>
        <v/>
      </c>
    </row>
    <row r="10" spans="1:7" x14ac:dyDescent="0.25">
      <c r="E10" t="str">
        <f>_xlfn.XLOOKUP(D10,Tabela1[Kategoria],Tabela1[Typ],"",0,1)</f>
        <v/>
      </c>
    </row>
    <row r="11" spans="1:7" x14ac:dyDescent="0.25">
      <c r="E11" t="str">
        <f>_xlfn.XLOOKUP(D11,Tabela1[Kategoria],Tabela1[Typ],"",0,1)</f>
        <v/>
      </c>
    </row>
    <row r="12" spans="1:7" x14ac:dyDescent="0.25">
      <c r="E12" t="str">
        <f>_xlfn.XLOOKUP(D12,Tabela1[Kategoria],Tabela1[Typ],"",0,1)</f>
        <v/>
      </c>
    </row>
    <row r="13" spans="1:7" x14ac:dyDescent="0.25">
      <c r="E13" t="str">
        <f>_xlfn.XLOOKUP(D13,Tabela1[Kategoria],Tabela1[Typ],"",0,1)</f>
        <v/>
      </c>
    </row>
    <row r="14" spans="1:7" x14ac:dyDescent="0.25">
      <c r="E14" t="str">
        <f>_xlfn.XLOOKUP(D14,Tabela1[Kategoria],Tabela1[Typ],"",0,1)</f>
        <v/>
      </c>
    </row>
    <row r="15" spans="1:7" x14ac:dyDescent="0.25">
      <c r="E15" t="str">
        <f>_xlfn.XLOOKUP(D15,Tabela1[Kategoria],Tabela1[Typ],"",0,1)</f>
        <v/>
      </c>
    </row>
    <row r="16" spans="1:7" x14ac:dyDescent="0.25">
      <c r="E16" t="str">
        <f>_xlfn.XLOOKUP(D16,Tabela1[Kategoria],Tabela1[Typ],"",0,1)</f>
        <v/>
      </c>
    </row>
    <row r="17" spans="5:5" x14ac:dyDescent="0.25">
      <c r="E17" t="str">
        <f>_xlfn.XLOOKUP(D17,Tabela1[Kategoria],Tabela1[Typ],"",0,1)</f>
        <v/>
      </c>
    </row>
    <row r="18" spans="5:5" x14ac:dyDescent="0.25">
      <c r="E18" t="str">
        <f>_xlfn.XLOOKUP(D18,Tabela1[Kategoria],Tabela1[Typ],"",0,1)</f>
        <v/>
      </c>
    </row>
    <row r="19" spans="5:5" x14ac:dyDescent="0.25">
      <c r="E19" t="str">
        <f>_xlfn.XLOOKUP(D19,Tabela1[Kategoria],Tabela1[Typ],"",0,1)</f>
        <v/>
      </c>
    </row>
    <row r="20" spans="5:5" x14ac:dyDescent="0.25">
      <c r="E20" t="str">
        <f>_xlfn.XLOOKUP(D20,Tabela1[Kategoria],Tabela1[Typ],"",0,1)</f>
        <v/>
      </c>
    </row>
    <row r="21" spans="5:5" x14ac:dyDescent="0.25">
      <c r="E21" t="str">
        <f>_xlfn.XLOOKUP(D21,Tabela1[Kategoria],Tabela1[Typ],"",0,1)</f>
        <v/>
      </c>
    </row>
    <row r="22" spans="5:5" x14ac:dyDescent="0.25">
      <c r="E22" t="str">
        <f>_xlfn.XLOOKUP(D22,Tabela1[Kategoria],Tabela1[Typ],"",0,1)</f>
        <v/>
      </c>
    </row>
    <row r="23" spans="5:5" x14ac:dyDescent="0.25">
      <c r="E23" t="str">
        <f>_xlfn.XLOOKUP(D23,Tabela1[Kategoria],Tabela1[Typ],"",0,1)</f>
        <v/>
      </c>
    </row>
    <row r="24" spans="5:5" x14ac:dyDescent="0.25">
      <c r="E24" t="str">
        <f>_xlfn.XLOOKUP(D24,Tabela1[Kategoria],Tabela1[Typ],"",0,1)</f>
        <v/>
      </c>
    </row>
    <row r="25" spans="5:5" x14ac:dyDescent="0.25">
      <c r="E25" t="str">
        <f>_xlfn.XLOOKUP(D25,Tabela1[Kategoria],Tabela1[Typ],"",0,1)</f>
        <v/>
      </c>
    </row>
    <row r="26" spans="5:5" x14ac:dyDescent="0.25">
      <c r="E26" t="str">
        <f>_xlfn.XLOOKUP(D26,Tabela1[Kategoria],Tabela1[Typ],"",0,1)</f>
        <v/>
      </c>
    </row>
    <row r="27" spans="5:5" x14ac:dyDescent="0.25">
      <c r="E27" t="str">
        <f>_xlfn.XLOOKUP(D27,Tabela1[Kategoria],Tabela1[Typ],"",0,1)</f>
        <v/>
      </c>
    </row>
    <row r="28" spans="5:5" x14ac:dyDescent="0.25">
      <c r="E28" t="str">
        <f>_xlfn.XLOOKUP(D28,Tabela1[Kategoria],Tabela1[Typ],"",0,1)</f>
        <v/>
      </c>
    </row>
    <row r="29" spans="5:5" x14ac:dyDescent="0.25">
      <c r="E29" t="str">
        <f>_xlfn.XLOOKUP(D29,Tabela1[Kategoria],Tabela1[Typ],"",0,1)</f>
        <v/>
      </c>
    </row>
    <row r="30" spans="5:5" x14ac:dyDescent="0.25">
      <c r="E30" t="str">
        <f>_xlfn.XLOOKUP(D30,Tabela1[Kategoria],Tabela1[Typ],"",0,1)</f>
        <v/>
      </c>
    </row>
    <row r="31" spans="5:5" x14ac:dyDescent="0.25">
      <c r="E31" t="str">
        <f>_xlfn.XLOOKUP(D31,Tabela1[Kategoria],Tabela1[Typ],"",0,1)</f>
        <v/>
      </c>
    </row>
    <row r="32" spans="5:5" x14ac:dyDescent="0.25">
      <c r="E32" t="str">
        <f>_xlfn.XLOOKUP(D32,Tabela1[Kategoria],Tabela1[Typ],"",0,1)</f>
        <v/>
      </c>
    </row>
    <row r="33" spans="5:5" x14ac:dyDescent="0.25">
      <c r="E33" t="str">
        <f>_xlfn.XLOOKUP(D33,Tabela1[Kategoria],Tabela1[Typ],"",0,1)</f>
        <v/>
      </c>
    </row>
    <row r="34" spans="5:5" x14ac:dyDescent="0.25">
      <c r="E34" t="str">
        <f>_xlfn.XLOOKUP(D34,Tabela1[Kategoria],Tabela1[Typ],"",0,1)</f>
        <v/>
      </c>
    </row>
    <row r="35" spans="5:5" x14ac:dyDescent="0.25">
      <c r="E35" t="str">
        <f>_xlfn.XLOOKUP(D35,Tabela1[Kategoria],Tabela1[Typ],"",0,1)</f>
        <v/>
      </c>
    </row>
    <row r="36" spans="5:5" x14ac:dyDescent="0.25">
      <c r="E36" t="str">
        <f>_xlfn.XLOOKUP(D36,Tabela1[Kategoria],Tabela1[Typ],"",0,1)</f>
        <v/>
      </c>
    </row>
    <row r="37" spans="5:5" x14ac:dyDescent="0.25">
      <c r="E37" t="str">
        <f>_xlfn.XLOOKUP(D37,Tabela1[Kategoria],Tabela1[Typ],"",0,1)</f>
        <v/>
      </c>
    </row>
    <row r="38" spans="5:5" x14ac:dyDescent="0.25">
      <c r="E38" t="str">
        <f>_xlfn.XLOOKUP(D38,Tabela1[Kategoria],Tabela1[Typ],"",0,1)</f>
        <v/>
      </c>
    </row>
    <row r="39" spans="5:5" x14ac:dyDescent="0.25">
      <c r="E39" t="str">
        <f>_xlfn.XLOOKUP(D39,Tabela1[Kategoria],Tabela1[Typ],"",0,1)</f>
        <v/>
      </c>
    </row>
    <row r="40" spans="5:5" x14ac:dyDescent="0.25">
      <c r="E40" t="str">
        <f>_xlfn.XLOOKUP(D40,Tabela1[Kategoria],Tabela1[Typ],"",0,1)</f>
        <v/>
      </c>
    </row>
    <row r="41" spans="5:5" x14ac:dyDescent="0.25">
      <c r="E41" t="str">
        <f>_xlfn.XLOOKUP(D41,Tabela1[Kategoria],Tabela1[Typ],"",0,1)</f>
        <v/>
      </c>
    </row>
    <row r="42" spans="5:5" x14ac:dyDescent="0.25">
      <c r="E42" t="str">
        <f>_xlfn.XLOOKUP(D42,Tabela1[Kategoria],Tabela1[Typ],"",0,1)</f>
        <v/>
      </c>
    </row>
    <row r="43" spans="5:5" x14ac:dyDescent="0.25">
      <c r="E43" t="str">
        <f>_xlfn.XLOOKUP(D43,Tabela1[Kategoria],Tabela1[Typ],"",0,1)</f>
        <v/>
      </c>
    </row>
    <row r="44" spans="5:5" x14ac:dyDescent="0.25">
      <c r="E44" t="str">
        <f>_xlfn.XLOOKUP(D44,Tabela1[Kategoria],Tabela1[Typ],"",0,1)</f>
        <v/>
      </c>
    </row>
    <row r="45" spans="5:5" x14ac:dyDescent="0.25">
      <c r="E45" t="str">
        <f>_xlfn.XLOOKUP(D45,Tabela1[Kategoria],Tabela1[Typ],"",0,1)</f>
        <v/>
      </c>
    </row>
    <row r="46" spans="5:5" x14ac:dyDescent="0.25">
      <c r="E46" t="str">
        <f>_xlfn.XLOOKUP(D46,Tabela1[Kategoria],Tabela1[Typ],"",0,1)</f>
        <v/>
      </c>
    </row>
    <row r="47" spans="5:5" x14ac:dyDescent="0.25">
      <c r="E47" t="str">
        <f>_xlfn.XLOOKUP(D47,Tabela1[Kategoria],Tabela1[Typ],"",0,1)</f>
        <v/>
      </c>
    </row>
    <row r="48" spans="5:5" x14ac:dyDescent="0.25">
      <c r="E48" t="str">
        <f>_xlfn.XLOOKUP(D48,Tabela1[Kategoria],Tabela1[Typ],"",0,1)</f>
        <v/>
      </c>
    </row>
    <row r="49" spans="5:5" x14ac:dyDescent="0.25">
      <c r="E49" t="str">
        <f>_xlfn.XLOOKUP(D49,Tabela1[Kategoria],Tabela1[Typ],"",0,1)</f>
        <v/>
      </c>
    </row>
    <row r="50" spans="5:5" x14ac:dyDescent="0.25">
      <c r="E50" t="str">
        <f>_xlfn.XLOOKUP(D50,Tabela1[Kategoria],Tabela1[Typ],"",0,1)</f>
        <v/>
      </c>
    </row>
    <row r="51" spans="5:5" x14ac:dyDescent="0.25">
      <c r="E51" t="str">
        <f>_xlfn.XLOOKUP(D51,Tabela1[Kategoria],Tabela1[Typ],"",0,1)</f>
        <v/>
      </c>
    </row>
    <row r="52" spans="5:5" x14ac:dyDescent="0.25">
      <c r="E52" t="str">
        <f>_xlfn.XLOOKUP(D52,Tabela1[Kategoria],Tabela1[Typ],"",0,1)</f>
        <v/>
      </c>
    </row>
    <row r="53" spans="5:5" x14ac:dyDescent="0.25">
      <c r="E53" t="str">
        <f>_xlfn.XLOOKUP(D53,Tabela1[Kategoria],Tabela1[Typ],"",0,1)</f>
        <v/>
      </c>
    </row>
    <row r="54" spans="5:5" x14ac:dyDescent="0.25">
      <c r="E54" t="str">
        <f>_xlfn.XLOOKUP(D54,Tabela1[Kategoria],Tabela1[Typ],"",0,1)</f>
        <v/>
      </c>
    </row>
    <row r="55" spans="5:5" x14ac:dyDescent="0.25">
      <c r="E55" t="str">
        <f>_xlfn.XLOOKUP(D55,Tabela1[Kategoria],Tabela1[Typ],"",0,1)</f>
        <v/>
      </c>
    </row>
    <row r="56" spans="5:5" x14ac:dyDescent="0.25">
      <c r="E56" t="str">
        <f>_xlfn.XLOOKUP(D56,Tabela1[Kategoria],Tabela1[Typ],"",0,1)</f>
        <v/>
      </c>
    </row>
    <row r="57" spans="5:5" x14ac:dyDescent="0.25">
      <c r="E57" t="str">
        <f>_xlfn.XLOOKUP(D57,Tabela1[Kategoria],Tabela1[Typ],"",0,1)</f>
        <v/>
      </c>
    </row>
    <row r="58" spans="5:5" x14ac:dyDescent="0.25">
      <c r="E58" t="str">
        <f>_xlfn.XLOOKUP(D58,Tabela1[Kategoria],Tabela1[Typ],"",0,1)</f>
        <v/>
      </c>
    </row>
    <row r="59" spans="5:5" x14ac:dyDescent="0.25">
      <c r="E59" t="str">
        <f>_xlfn.XLOOKUP(D59,Tabela1[Kategoria],Tabela1[Typ],"",0,1)</f>
        <v/>
      </c>
    </row>
    <row r="60" spans="5:5" x14ac:dyDescent="0.25">
      <c r="E60" t="str">
        <f>_xlfn.XLOOKUP(D60,Tabela1[Kategoria],Tabela1[Typ],"",0,1)</f>
        <v/>
      </c>
    </row>
    <row r="61" spans="5:5" x14ac:dyDescent="0.25">
      <c r="E61" t="str">
        <f>_xlfn.XLOOKUP(D61,Tabela1[Kategoria],Tabela1[Typ],"",0,1)</f>
        <v/>
      </c>
    </row>
    <row r="62" spans="5:5" x14ac:dyDescent="0.25">
      <c r="E62" t="str">
        <f>_xlfn.XLOOKUP(D62,Tabela1[Kategoria],Tabela1[Typ],"",0,1)</f>
        <v/>
      </c>
    </row>
    <row r="63" spans="5:5" x14ac:dyDescent="0.25">
      <c r="E63" t="str">
        <f>_xlfn.XLOOKUP(D63,Tabela1[Kategoria],Tabela1[Typ],"",0,1)</f>
        <v/>
      </c>
    </row>
    <row r="64" spans="5:5" x14ac:dyDescent="0.25">
      <c r="E64" t="str">
        <f>_xlfn.XLOOKUP(D64,Tabela1[Kategoria],Tabela1[Typ],"",0,1)</f>
        <v/>
      </c>
    </row>
    <row r="65" spans="5:5" x14ac:dyDescent="0.25">
      <c r="E65" t="str">
        <f>_xlfn.XLOOKUP(D65,Tabela1[Kategoria],Tabela1[Typ],"",0,1)</f>
        <v/>
      </c>
    </row>
    <row r="66" spans="5:5" x14ac:dyDescent="0.25">
      <c r="E66" t="str">
        <f>_xlfn.XLOOKUP(D66,Tabela1[Kategoria],Tabela1[Typ],"",0,1)</f>
        <v/>
      </c>
    </row>
    <row r="67" spans="5:5" x14ac:dyDescent="0.25">
      <c r="E67" t="str">
        <f>_xlfn.XLOOKUP(D67,Tabela1[Kategoria],Tabela1[Typ],"",0,1)</f>
        <v/>
      </c>
    </row>
    <row r="68" spans="5:5" x14ac:dyDescent="0.25">
      <c r="E68" t="str">
        <f>_xlfn.XLOOKUP(D68,Tabela1[Kategoria],Tabela1[Typ],"",0,1)</f>
        <v/>
      </c>
    </row>
    <row r="69" spans="5:5" x14ac:dyDescent="0.25">
      <c r="E69" t="str">
        <f>_xlfn.XLOOKUP(D69,Tabela1[Kategoria],Tabela1[Typ],"",0,1)</f>
        <v/>
      </c>
    </row>
    <row r="70" spans="5:5" x14ac:dyDescent="0.25">
      <c r="E70" t="str">
        <f>_xlfn.XLOOKUP(D70,Tabela1[Kategoria],Tabela1[Typ],"",0,1)</f>
        <v/>
      </c>
    </row>
    <row r="71" spans="5:5" x14ac:dyDescent="0.25">
      <c r="E71" t="str">
        <f>_xlfn.XLOOKUP(D71,Tabela1[Kategoria],Tabela1[Typ],"",0,1)</f>
        <v/>
      </c>
    </row>
    <row r="72" spans="5:5" x14ac:dyDescent="0.25">
      <c r="E72" t="str">
        <f>_xlfn.XLOOKUP(D72,Tabela1[Kategoria],Tabela1[Typ],"",0,1)</f>
        <v/>
      </c>
    </row>
    <row r="73" spans="5:5" x14ac:dyDescent="0.25">
      <c r="E73" t="str">
        <f>_xlfn.XLOOKUP(D73,Tabela1[Kategoria],Tabela1[Typ],"",0,1)</f>
        <v/>
      </c>
    </row>
    <row r="74" spans="5:5" x14ac:dyDescent="0.25">
      <c r="E74" t="str">
        <f>_xlfn.XLOOKUP(D74,Tabela1[Kategoria],Tabela1[Typ],"",0,1)</f>
        <v/>
      </c>
    </row>
    <row r="75" spans="5:5" x14ac:dyDescent="0.25">
      <c r="E75" t="str">
        <f>_xlfn.XLOOKUP(D75,Tabela1[Kategoria],Tabela1[Typ],"",0,1)</f>
        <v/>
      </c>
    </row>
    <row r="76" spans="5:5" x14ac:dyDescent="0.25">
      <c r="E76" t="str">
        <f>_xlfn.XLOOKUP(D76,Tabela1[Kategoria],Tabela1[Typ],"",0,1)</f>
        <v/>
      </c>
    </row>
    <row r="77" spans="5:5" x14ac:dyDescent="0.25">
      <c r="E77" t="str">
        <f>_xlfn.XLOOKUP(D77,Tabela1[Kategoria],Tabela1[Typ],"",0,1)</f>
        <v/>
      </c>
    </row>
    <row r="78" spans="5:5" x14ac:dyDescent="0.25">
      <c r="E78" t="str">
        <f>_xlfn.XLOOKUP(D78,Tabela1[Kategoria],Tabela1[Typ],"",0,1)</f>
        <v/>
      </c>
    </row>
    <row r="79" spans="5:5" x14ac:dyDescent="0.25">
      <c r="E79" t="str">
        <f>_xlfn.XLOOKUP(D79,Tabela1[Kategoria],Tabela1[Typ],"",0,1)</f>
        <v/>
      </c>
    </row>
    <row r="80" spans="5:5" x14ac:dyDescent="0.25">
      <c r="E80" t="str">
        <f>_xlfn.XLOOKUP(D80,Tabela1[Kategoria],Tabela1[Typ],"",0,1)</f>
        <v/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5A44A10-BD4D-4874-BCDF-4FC0827EB881}">
          <x14:formula1>
            <xm:f>Kategorie!$G$1:$H$1</xm:f>
          </x14:formula1>
          <xm:sqref>B2:B1048576</xm:sqref>
        </x14:dataValidation>
        <x14:dataValidation type="list" allowBlank="1" showInputMessage="1" showErrorMessage="1" xr:uid="{A0666B40-EC84-445F-8916-AAA0B8BF8BE2}">
          <x14:formula1>
            <xm:f>Kategorie!$A$2:$A$16</xm:f>
          </x14:formula1>
          <xm:sqref>D2:D1048576</xm:sqref>
        </x14:dataValidation>
        <x14:dataValidation type="list" allowBlank="1" showInputMessage="1" showErrorMessage="1" xr:uid="{2C66ACC0-C950-4B59-A336-A53739895C0B}">
          <x14:formula1>
            <xm:f>CHOOSE(MATCH(B2,Kategorie!$G$1:$I$1,0),Kategorie!$G$2:$G$4,Kategorie!$H$2:$H$3,Kategorie!$I$2:$I$3)</xm:f>
          </x14:formula1>
          <xm:sqref>C1:C1048576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2548B-2E37-4C51-B5C9-F88165468651}">
  <dimension ref="A1:H16"/>
  <sheetViews>
    <sheetView workbookViewId="0">
      <selection activeCell="C12" sqref="C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/>
      <c r="D2" s="2">
        <f>SUMIFS(Tabela8[Kwota],Tabela8[Bank],Tabela6[[#This Row],[Bank]],Tabela8[Produkt],Tabela6[[#This Row],[Produkt]],Tabela8[Miesiąc],styczeń!$B$11)</f>
        <v>0</v>
      </c>
      <c r="E2" s="2">
        <f>Tabela6[[#This Row],[Saldo początkowe]]+Tabela6[[#This Row],[Operacje]]</f>
        <v>0</v>
      </c>
      <c r="G2" t="s">
        <v>1</v>
      </c>
      <c r="H2" s="2">
        <f>SUMIFS(Tabela8[Kwota],Tabela8[Kategoria],Tabela9[[#This Row],[Kategoria]],Tabela8[Miesiąc],styczeń!$B$11)</f>
        <v>0</v>
      </c>
    </row>
    <row r="3" spans="1:8" x14ac:dyDescent="0.25">
      <c r="A3" t="s">
        <v>20</v>
      </c>
      <c r="B3" t="s">
        <v>22</v>
      </c>
      <c r="C3" s="2"/>
      <c r="D3" s="2">
        <f>SUMIFS(Tabela8[Kwota],Tabela8[Bank],Tabela6[[#This Row],[Bank]],Tabela8[Produkt],Tabela6[[#This Row],[Produkt]],Tabela8[Miesiąc],styczeń!$B$11)</f>
        <v>-50</v>
      </c>
      <c r="E3" s="2">
        <f>Tabela6[[#This Row],[Saldo początkowe]]+Tabela6[[#This Row],[Operacje]]</f>
        <v>-50</v>
      </c>
      <c r="G3" t="s">
        <v>2</v>
      </c>
      <c r="H3" s="2">
        <f>SUMIFS(Tabela8[Kwota],Tabela8[Kategoria],Tabela9[[#This Row],[Kategoria]],Tabela8[Miesiąc],styczeń!$B$11)</f>
        <v>0</v>
      </c>
    </row>
    <row r="4" spans="1:8" x14ac:dyDescent="0.25">
      <c r="A4" t="s">
        <v>20</v>
      </c>
      <c r="B4" t="s">
        <v>23</v>
      </c>
      <c r="C4" s="2"/>
      <c r="D4" s="2">
        <f>SUMIFS(Tabela8[Kwota],Tabela8[Bank],Tabela6[[#This Row],[Bank]],Tabela8[Produkt],Tabela6[[#This Row],[Produkt]],Tabela8[Miesiąc],styczeń!$B$11)</f>
        <v>0</v>
      </c>
      <c r="E4" s="2">
        <f>Tabela6[[#This Row],[Saldo początkowe]]+Tabela6[[#This Row],[Operacje]]</f>
        <v>0</v>
      </c>
      <c r="G4" t="s">
        <v>3</v>
      </c>
      <c r="H4" s="2">
        <f>SUMIFS(Tabela8[Kwota],Tabela8[Kategoria],Tabela9[[#This Row],[Kategoria]],Tabela8[Miesiąc],styczeń!$B$11)</f>
        <v>0</v>
      </c>
    </row>
    <row r="5" spans="1:8" x14ac:dyDescent="0.25">
      <c r="A5" t="s">
        <v>33</v>
      </c>
      <c r="B5" t="s">
        <v>19</v>
      </c>
      <c r="C5" s="2"/>
      <c r="D5" s="2">
        <f>SUMIFS(Tabela8[Kwota],Tabela8[Bank],Tabela6[[#This Row],[Bank]],Tabela8[Produkt],Tabela6[[#This Row],[Produkt]],Tabela8[Miesiąc],styczeń!$B$11)</f>
        <v>0</v>
      </c>
      <c r="E5" s="2">
        <f>Tabela6[[#This Row],[Saldo początkowe]]+Tabela6[[#This Row],[Operacje]]</f>
        <v>0</v>
      </c>
      <c r="G5" t="s">
        <v>4</v>
      </c>
      <c r="H5" s="2">
        <f>SUMIFS(Tabela8[Kwota],Tabela8[Kategoria],Tabela9[[#This Row],[Kategoria]],Tabela8[Miesiąc],styczeń!$B$11)</f>
        <v>0</v>
      </c>
    </row>
    <row r="6" spans="1:8" x14ac:dyDescent="0.25">
      <c r="A6" t="s">
        <v>33</v>
      </c>
      <c r="B6" t="s">
        <v>24</v>
      </c>
      <c r="C6" s="2"/>
      <c r="D6" s="2">
        <f>SUMIFS(Tabela8[Kwota],Tabela8[Bank],Tabela6[[#This Row],[Bank]],Tabela8[Produkt],Tabela6[[#This Row],[Produkt]],Tabela8[Miesiąc],styczeń!$B$11)</f>
        <v>0</v>
      </c>
      <c r="E6" s="2">
        <f>Tabela6[[#This Row],[Saldo początkowe]]+Tabela6[[#This Row],[Operacje]]</f>
        <v>0</v>
      </c>
      <c r="G6" t="s">
        <v>5</v>
      </c>
      <c r="H6" s="2">
        <f>SUMIFS(Tabela8[Kwota],Tabela8[Kategoria],Tabela9[[#This Row],[Kategoria]],Tabela8[Miesiąc],styczeń!$B$11)</f>
        <v>0</v>
      </c>
    </row>
    <row r="7" spans="1:8" x14ac:dyDescent="0.25">
      <c r="A7" t="s">
        <v>30</v>
      </c>
      <c r="B7" t="s">
        <v>31</v>
      </c>
      <c r="C7" s="2"/>
      <c r="D7" s="2">
        <f>SUMIFS(Tabela8[Kwota],Tabela8[Bank],Tabela6[[#This Row],[Bank]],Tabela8[Produkt],Tabela6[[#This Row],[Produkt]],Tabela8[Miesiąc],styczeń!$B$11)</f>
        <v>0</v>
      </c>
      <c r="E7" s="2">
        <f>Tabela6[[#This Row],[Saldo początkowe]]+Tabela6[[#This Row],[Operacje]]</f>
        <v>0</v>
      </c>
      <c r="G7" t="s">
        <v>6</v>
      </c>
      <c r="H7" s="2">
        <f>SUMIFS(Tabela8[Kwota],Tabela8[Kategoria],Tabela9[[#This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/>
      <c r="D8" s="2">
        <f>SUMIFS(Tabela8[Kwota],Tabela8[Bank],Tabela6[[#This Row],[Bank]],Tabela8[Produkt],Tabela6[[#This Row],[Produkt]],Tabela8[Miesiąc],styczeń!$B$11)</f>
        <v>0</v>
      </c>
      <c r="E8" s="2">
        <f>Tabela6[[#This Row],[Saldo początkowe]]+Tabela6[[#This Row],[Operacje]]</f>
        <v>0</v>
      </c>
      <c r="G8" t="s">
        <v>8</v>
      </c>
      <c r="H8" s="2">
        <f>SUMIFS(Tabela8[Kwota],Tabela8[Kategoria],Tabela9[[#This Row],[Kategoria]],Tabela8[Miesiąc],styczeń!$B$11)</f>
        <v>0</v>
      </c>
    </row>
    <row r="9" spans="1:8" x14ac:dyDescent="0.25">
      <c r="A9" t="s">
        <v>37</v>
      </c>
      <c r="C9" s="2">
        <f>SUBTOTAL(109,Tabela6[Saldo początkowe])</f>
        <v>0</v>
      </c>
      <c r="D9" s="2">
        <f>SUBTOTAL(109,Tabela6[Operacje])</f>
        <v>-50</v>
      </c>
      <c r="E9" s="2">
        <f>SUBTOTAL(109,Tabela6[Saldo Końcowe])</f>
        <v>-50</v>
      </c>
      <c r="G9" t="s">
        <v>9</v>
      </c>
      <c r="H9" s="2">
        <f>SUMIFS(Tabela8[Kwota],Tabela8[Kategoria],Tabela9[[#This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SUMIFS(Tabela8[Kwota],Tabela8[Kategoria],Tabela9[[#This Row],[Kategoria]],Tabela8[Miesiąc],styczeń!$B$11)</f>
        <v>0</v>
      </c>
    </row>
    <row r="11" spans="1:8" x14ac:dyDescent="0.25">
      <c r="A11" t="s">
        <v>28</v>
      </c>
      <c r="B11">
        <v>1</v>
      </c>
      <c r="C11" t="str">
        <f>TEXT(DATE(2025,B11,1),"mmmm")</f>
        <v>styczeń</v>
      </c>
      <c r="G11" t="s">
        <v>11</v>
      </c>
      <c r="H11" s="2">
        <f>SUMIFS(Tabela8[Kwota],Tabela8[Kategoria],Tabela9[[#This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SUMIFS(Tabela8[Kwota],Tabela8[Kategoria],Tabela9[[#This Row],[Kategoria]],Tabela8[Miesiąc],styczeń!$B$11)</f>
        <v>0</v>
      </c>
    </row>
    <row r="14" spans="1:8" x14ac:dyDescent="0.25">
      <c r="A14" t="s">
        <v>16</v>
      </c>
      <c r="B14" s="2">
        <f>SUMIFS(Tabela8[Kwota],Tabela8[Typ],styczeń!$A14,Tabela8[Miesiąc],styczeń!$B$11)</f>
        <v>-50</v>
      </c>
      <c r="G14" t="s">
        <v>13</v>
      </c>
      <c r="H14" s="2">
        <f>SUMIFS(Tabela8[Kwota],Tabela8[Kategoria],Tabela9[[#This Row],[Kategoria]],Tabela8[Miesiąc],styczeń!$B$11)</f>
        <v>0</v>
      </c>
    </row>
    <row r="15" spans="1:8" x14ac:dyDescent="0.25">
      <c r="A15" t="s">
        <v>38</v>
      </c>
      <c r="B15" s="2">
        <f>B13+B14</f>
        <v>-50</v>
      </c>
      <c r="G15" t="s">
        <v>14</v>
      </c>
      <c r="H15" s="2">
        <f>SUMIFS(Tabela8[Kwota],Tabela8[Kategoria],Tabela9[[#This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2043-A0D9-4362-82C0-5554E9D123FF}">
  <dimension ref="A1:H16"/>
  <sheetViews>
    <sheetView workbookViewId="0">
      <selection activeCell="C12" sqref="C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SUMIFS(Tabela8[Kwota],Tabela8[Bank],Tabela611[[#This Row],[Bank]],Tabela8[Produkt],Tabela611[[#This Row],[Produkt]],Tabela8[Miesiąc],styczeń!$B$11)</f>
        <v>0</v>
      </c>
      <c r="E2" s="2">
        <f ca="1">Tabela611[[#This Row],[Saldo początkowe]]+Tabela611[[#This Row],[Operacje]]</f>
        <v>0</v>
      </c>
      <c r="G2" t="s">
        <v>1</v>
      </c>
      <c r="H2" s="2">
        <f>SUMIFS(Tabela8[Kwota],Tabela8[Kategoria],Tabela912[[#This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-50</v>
      </c>
      <c r="D3" s="2">
        <f>SUMIFS(Tabela8[Kwota],Tabela8[Bank],Tabela611[[#This Row],[Bank]],Tabela8[Produkt],Tabela611[[#This Row],[Produkt]],Tabela8[Miesiąc],styczeń!$B$11)</f>
        <v>-50</v>
      </c>
      <c r="E3" s="2">
        <f ca="1">Tabela611[[#This Row],[Saldo początkowe]]+Tabela611[[#This Row],[Operacje]]</f>
        <v>-100</v>
      </c>
      <c r="G3" t="s">
        <v>2</v>
      </c>
      <c r="H3" s="2">
        <f>SUMIFS(Tabela8[Kwota],Tabela8[Kategoria],Tabela912[[#This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SUMIFS(Tabela8[Kwota],Tabela8[Bank],Tabela611[[#This Row],[Bank]],Tabela8[Produkt],Tabela611[[#This Row],[Produkt]],Tabela8[Miesiąc],styczeń!$B$11)</f>
        <v>0</v>
      </c>
      <c r="E4" s="2">
        <f ca="1">Tabela611[[#This Row],[Saldo początkowe]]+Tabela611[[#This Row],[Operacje]]</f>
        <v>0</v>
      </c>
      <c r="G4" t="s">
        <v>3</v>
      </c>
      <c r="H4" s="2">
        <f>SUMIFS(Tabela8[Kwota],Tabela8[Kategoria],Tabela912[[#This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SUMIFS(Tabela8[Kwota],Tabela8[Bank],Tabela611[[#This Row],[Bank]],Tabela8[Produkt],Tabela611[[#This Row],[Produkt]],Tabela8[Miesiąc],styczeń!$B$11)</f>
        <v>0</v>
      </c>
      <c r="E5" s="2">
        <f ca="1">Tabela611[[#This Row],[Saldo początkowe]]+Tabela611[[#This Row],[Operacje]]</f>
        <v>0</v>
      </c>
      <c r="G5" t="s">
        <v>4</v>
      </c>
      <c r="H5" s="2">
        <f>SUMIFS(Tabela8[Kwota],Tabela8[Kategoria],Tabela912[[#This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SUMIFS(Tabela8[Kwota],Tabela8[Bank],Tabela611[[#This Row],[Bank]],Tabela8[Produkt],Tabela611[[#This Row],[Produkt]],Tabela8[Miesiąc],styczeń!$B$11)</f>
        <v>0</v>
      </c>
      <c r="E6" s="2">
        <f ca="1">Tabela611[[#This Row],[Saldo początkowe]]+Tabela611[[#This Row],[Operacje]]</f>
        <v>0</v>
      </c>
      <c r="G6" t="s">
        <v>5</v>
      </c>
      <c r="H6" s="2">
        <f>SUMIFS(Tabela8[Kwota],Tabela8[Kategoria],Tabela912[[#This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SUMIFS(Tabela8[Kwota],Tabela8[Bank],Tabela611[[#This Row],[Bank]],Tabela8[Produkt],Tabela611[[#This Row],[Produkt]],Tabela8[Miesiąc],styczeń!$B$11)</f>
        <v>0</v>
      </c>
      <c r="E7" s="2">
        <f ca="1">Tabela611[[#This Row],[Saldo początkowe]]+Tabela611[[#This Row],[Operacje]]</f>
        <v>0</v>
      </c>
      <c r="G7" t="s">
        <v>6</v>
      </c>
      <c r="H7" s="2">
        <f>SUMIFS(Tabela8[Kwota],Tabela8[Kategoria],Tabela912[[#This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SUMIFS(Tabela8[Kwota],Tabela8[Bank],Tabela611[[#This Row],[Bank]],Tabela8[Produkt],Tabela611[[#This Row],[Produkt]],Tabela8[Miesiąc],styczeń!$B$11)</f>
        <v>0</v>
      </c>
      <c r="E8" s="2">
        <f ca="1">Tabela611[[#This Row],[Saldo początkowe]]+Tabela611[[#This Row],[Operacje]]</f>
        <v>0</v>
      </c>
      <c r="G8" t="s">
        <v>8</v>
      </c>
      <c r="H8" s="2">
        <f>SUMIFS(Tabela8[Kwota],Tabela8[Kategoria],Tabela912[[#This Row],[Kategoria]],Tabela8[Miesiąc],styczeń!$B$11)</f>
        <v>0</v>
      </c>
    </row>
    <row r="9" spans="1:8" x14ac:dyDescent="0.25">
      <c r="A9" t="s">
        <v>37</v>
      </c>
      <c r="C9" s="2">
        <f ca="1">SUBTOTAL(109,Tabela611[Saldo początkowe])</f>
        <v>-50</v>
      </c>
      <c r="D9" s="2">
        <f>SUBTOTAL(109,Tabela611[Operacje])</f>
        <v>-50</v>
      </c>
      <c r="E9" s="2">
        <f ca="1">SUBTOTAL(109,Tabela611[Saldo Końcowe])</f>
        <v>-100</v>
      </c>
      <c r="G9" t="s">
        <v>9</v>
      </c>
      <c r="H9" s="2">
        <f>SUMIFS(Tabela8[Kwota],Tabela8[Kategoria],Tabela912[[#This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SUMIFS(Tabela8[Kwota],Tabela8[Kategoria],Tabela912[[#This Row],[Kategoria]],Tabela8[Miesiąc],styczeń!$B$11)</f>
        <v>0</v>
      </c>
    </row>
    <row r="11" spans="1:8" x14ac:dyDescent="0.25">
      <c r="A11" t="s">
        <v>28</v>
      </c>
      <c r="B11">
        <v>2</v>
      </c>
      <c r="C11" t="str">
        <f>TEXT(DATE(2025,B11,1),"mmmm")</f>
        <v>luty</v>
      </c>
      <c r="G11" t="s">
        <v>11</v>
      </c>
      <c r="H11" s="2">
        <f>SUMIFS(Tabela8[Kwota],Tabela8[Kategoria],Tabela912[[#This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SUMIFS(Tabela8[Kwota],Tabela8[Kategoria],Tabela912[[#This Row],[Kategoria]],Tabela8[Miesiąc],styczeń!$B$11)</f>
        <v>0</v>
      </c>
    </row>
    <row r="14" spans="1:8" x14ac:dyDescent="0.25">
      <c r="A14" t="s">
        <v>16</v>
      </c>
      <c r="B14" s="2">
        <f>SUMIFS(Tabela8[Kwota],Tabela8[Typ],luty!$A14,Tabela8[Miesiąc],luty!$B$11)</f>
        <v>0</v>
      </c>
      <c r="G14" t="s">
        <v>13</v>
      </c>
      <c r="H14" s="2">
        <f>SUMIFS(Tabela8[Kwota],Tabela8[Kategoria],Tabela912[[#This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D21D-20BF-4395-8C01-1AAD0A18DF09}">
  <dimension ref="A1:H16"/>
  <sheetViews>
    <sheetView workbookViewId="0">
      <selection activeCell="P5" sqref="P5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SUMIFS(Tabela8[Kwota],Tabela8[Bank],Tabela61113[[#This Row],[Bank]],Tabela8[Produkt],Tabela61113[[#This Row],[Produkt]],Tabela8[Miesiąc],styczeń!$B$11)</f>
        <v>0</v>
      </c>
      <c r="E2" s="2">
        <f ca="1">Tabela61113[[#This Row],[Saldo początkowe]]+Tabela61113[[#This Row],[Operacje]]</f>
        <v>0</v>
      </c>
      <c r="G2" t="s">
        <v>1</v>
      </c>
      <c r="H2" s="2">
        <f>SUMIFS(Tabela8[Kwota],Tabela8[Kategoria],Tabela91214[[#This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-100</v>
      </c>
      <c r="D3" s="2">
        <f>SUMIFS(Tabela8[Kwota],Tabela8[Bank],Tabela61113[[#This Row],[Bank]],Tabela8[Produkt],Tabela61113[[#This Row],[Produkt]],Tabela8[Miesiąc],styczeń!$B$11)</f>
        <v>-50</v>
      </c>
      <c r="E3" s="2">
        <f ca="1">Tabela61113[[#This Row],[Saldo początkowe]]+Tabela61113[[#This Row],[Operacje]]</f>
        <v>-150</v>
      </c>
      <c r="G3" t="s">
        <v>2</v>
      </c>
      <c r="H3" s="2">
        <f>SUMIFS(Tabela8[Kwota],Tabela8[Kategoria],Tabela91214[[#This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SUMIFS(Tabela8[Kwota],Tabela8[Bank],Tabela61113[[#This Row],[Bank]],Tabela8[Produkt],Tabela61113[[#This Row],[Produkt]],Tabela8[Miesiąc],styczeń!$B$11)</f>
        <v>0</v>
      </c>
      <c r="E4" s="2">
        <f ca="1">Tabela61113[[#This Row],[Saldo początkowe]]+Tabela61113[[#This Row],[Operacje]]</f>
        <v>0</v>
      </c>
      <c r="G4" t="s">
        <v>3</v>
      </c>
      <c r="H4" s="2">
        <f>SUMIFS(Tabela8[Kwota],Tabela8[Kategoria],Tabela91214[[#This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SUMIFS(Tabela8[Kwota],Tabela8[Bank],Tabela61113[[#This Row],[Bank]],Tabela8[Produkt],Tabela61113[[#This Row],[Produkt]],Tabela8[Miesiąc],styczeń!$B$11)</f>
        <v>0</v>
      </c>
      <c r="E5" s="2">
        <f ca="1">Tabela61113[[#This Row],[Saldo początkowe]]+Tabela61113[[#This Row],[Operacje]]</f>
        <v>0</v>
      </c>
      <c r="G5" t="s">
        <v>4</v>
      </c>
      <c r="H5" s="2">
        <f>SUMIFS(Tabela8[Kwota],Tabela8[Kategoria],Tabela91214[[#This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SUMIFS(Tabela8[Kwota],Tabela8[Bank],Tabela61113[[#This Row],[Bank]],Tabela8[Produkt],Tabela61113[[#This Row],[Produkt]],Tabela8[Miesiąc],styczeń!$B$11)</f>
        <v>0</v>
      </c>
      <c r="E6" s="2">
        <f ca="1">Tabela61113[[#This Row],[Saldo początkowe]]+Tabela61113[[#This Row],[Operacje]]</f>
        <v>0</v>
      </c>
      <c r="G6" t="s">
        <v>5</v>
      </c>
      <c r="H6" s="2">
        <f>SUMIFS(Tabela8[Kwota],Tabela8[Kategoria],Tabela91214[[#This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SUMIFS(Tabela8[Kwota],Tabela8[Bank],Tabela61113[[#This Row],[Bank]],Tabela8[Produkt],Tabela61113[[#This Row],[Produkt]],Tabela8[Miesiąc],styczeń!$B$11)</f>
        <v>0</v>
      </c>
      <c r="E7" s="2">
        <f ca="1">Tabela61113[[#This Row],[Saldo początkowe]]+Tabela61113[[#This Row],[Operacje]]</f>
        <v>0</v>
      </c>
      <c r="G7" t="s">
        <v>6</v>
      </c>
      <c r="H7" s="2">
        <f>SUMIFS(Tabela8[Kwota],Tabela8[Kategoria],Tabela91214[[#This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SUMIFS(Tabela8[Kwota],Tabela8[Bank],Tabela61113[[#This Row],[Bank]],Tabela8[Produkt],Tabela61113[[#This Row],[Produkt]],Tabela8[Miesiąc],styczeń!$B$11)</f>
        <v>0</v>
      </c>
      <c r="E8" s="2">
        <f ca="1">Tabela61113[[#This Row],[Saldo początkowe]]+Tabela61113[[#This Row],[Operacje]]</f>
        <v>0</v>
      </c>
      <c r="G8" t="s">
        <v>8</v>
      </c>
      <c r="H8" s="2">
        <f>SUMIFS(Tabela8[Kwota],Tabela8[Kategoria],Tabela91214[[#This Row],[Kategoria]],Tabela8[Miesiąc],styczeń!$B$11)</f>
        <v>0</v>
      </c>
    </row>
    <row r="9" spans="1:8" x14ac:dyDescent="0.25">
      <c r="A9" t="s">
        <v>37</v>
      </c>
      <c r="C9" s="2">
        <f ca="1">SUBTOTAL(109,Tabela61113[Saldo początkowe])</f>
        <v>-100</v>
      </c>
      <c r="D9" s="2">
        <f>SUBTOTAL(109,Tabela61113[Operacje])</f>
        <v>-50</v>
      </c>
      <c r="E9" s="2">
        <f ca="1">SUBTOTAL(109,Tabela61113[Saldo Końcowe])</f>
        <v>-150</v>
      </c>
      <c r="G9" t="s">
        <v>9</v>
      </c>
      <c r="H9" s="2">
        <f>SUMIFS(Tabela8[Kwota],Tabela8[Kategoria],Tabela91214[[#This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SUMIFS(Tabela8[Kwota],Tabela8[Kategoria],Tabela91214[[#This Row],[Kategoria]],Tabela8[Miesiąc],styczeń!$B$11)</f>
        <v>0</v>
      </c>
    </row>
    <row r="11" spans="1:8" x14ac:dyDescent="0.25">
      <c r="A11" t="s">
        <v>28</v>
      </c>
      <c r="B11">
        <v>3</v>
      </c>
      <c r="C11" t="str">
        <f>TEXT(DATE(2025,B11,1),"mmmm")</f>
        <v>marzec</v>
      </c>
      <c r="G11" t="s">
        <v>11</v>
      </c>
      <c r="H11" s="2">
        <f>SUMIFS(Tabela8[Kwota],Tabela8[Kategoria],Tabela91214[[#This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SUMIFS(Tabela8[Kwota],Tabela8[Kategoria],Tabela91214[[#This Row],[Kategoria]],Tabela8[Miesiąc],styczeń!$B$11)</f>
        <v>0</v>
      </c>
    </row>
    <row r="14" spans="1:8" x14ac:dyDescent="0.25">
      <c r="A14" t="s">
        <v>16</v>
      </c>
      <c r="B14" s="2">
        <f>SUMIFS(Tabela8[Kwota],Tabela8[Typ],marzec!$A14,Tabela8[Miesiąc],marzec!$B$11)</f>
        <v>0</v>
      </c>
      <c r="G14" t="s">
        <v>13</v>
      </c>
      <c r="H14" s="2">
        <f>SUMIFS(Tabela8[Kwota],Tabela8[Kategoria],Tabela91214[[#This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464E-D5D3-43A3-BFF1-853EAE0902CD}">
  <dimension ref="A1:H1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SUMIFS(Tabela8[Kwota],Tabela8[Bank],Tabela6111315[[#This Row],[Bank]],Tabela8[Produkt],Tabela6111315[[#This Row],[Produkt]],Tabela8[Miesiąc],styczeń!$B$11)</f>
        <v>0</v>
      </c>
      <c r="E2" s="2">
        <f ca="1">Tabela6111315[[#This Row],[Saldo początkowe]]+Tabela6111315[[#This Row],[Operacje]]</f>
        <v>0</v>
      </c>
      <c r="G2" t="s">
        <v>1</v>
      </c>
      <c r="H2" s="2">
        <f>SUMIFS(Tabela8[Kwota],Tabela8[Kategoria],Tabela9121416[[#This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-150</v>
      </c>
      <c r="D3" s="2">
        <f>SUMIFS(Tabela8[Kwota],Tabela8[Bank],Tabela6111315[[#This Row],[Bank]],Tabela8[Produkt],Tabela6111315[[#This Row],[Produkt]],Tabela8[Miesiąc],styczeń!$B$11)</f>
        <v>-50</v>
      </c>
      <c r="E3" s="2">
        <f ca="1">Tabela6111315[[#This Row],[Saldo początkowe]]+Tabela6111315[[#This Row],[Operacje]]</f>
        <v>-200</v>
      </c>
      <c r="G3" t="s">
        <v>2</v>
      </c>
      <c r="H3" s="2">
        <f>SUMIFS(Tabela8[Kwota],Tabela8[Kategoria],Tabela9121416[[#This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SUMIFS(Tabela8[Kwota],Tabela8[Bank],Tabela6111315[[#This Row],[Bank]],Tabela8[Produkt],Tabela6111315[[#This Row],[Produkt]],Tabela8[Miesiąc],styczeń!$B$11)</f>
        <v>0</v>
      </c>
      <c r="E4" s="2">
        <f ca="1">Tabela6111315[[#This Row],[Saldo początkowe]]+Tabela6111315[[#This Row],[Operacje]]</f>
        <v>0</v>
      </c>
      <c r="G4" t="s">
        <v>3</v>
      </c>
      <c r="H4" s="2">
        <f>SUMIFS(Tabela8[Kwota],Tabela8[Kategoria],Tabela9121416[[#This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SUMIFS(Tabela8[Kwota],Tabela8[Bank],Tabela6111315[[#This Row],[Bank]],Tabela8[Produkt],Tabela6111315[[#This Row],[Produkt]],Tabela8[Miesiąc],styczeń!$B$11)</f>
        <v>0</v>
      </c>
      <c r="E5" s="2">
        <f ca="1">Tabela6111315[[#This Row],[Saldo początkowe]]+Tabela6111315[[#This Row],[Operacje]]</f>
        <v>0</v>
      </c>
      <c r="G5" t="s">
        <v>4</v>
      </c>
      <c r="H5" s="2">
        <f>SUMIFS(Tabela8[Kwota],Tabela8[Kategoria],Tabela9121416[[#This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SUMIFS(Tabela8[Kwota],Tabela8[Bank],Tabela6111315[[#This Row],[Bank]],Tabela8[Produkt],Tabela6111315[[#This Row],[Produkt]],Tabela8[Miesiąc],styczeń!$B$11)</f>
        <v>0</v>
      </c>
      <c r="E6" s="2">
        <f ca="1">Tabela6111315[[#This Row],[Saldo początkowe]]+Tabela6111315[[#This Row],[Operacje]]</f>
        <v>0</v>
      </c>
      <c r="G6" t="s">
        <v>5</v>
      </c>
      <c r="H6" s="2">
        <f>SUMIFS(Tabela8[Kwota],Tabela8[Kategoria],Tabela9121416[[#This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SUMIFS(Tabela8[Kwota],Tabela8[Bank],Tabela6111315[[#This Row],[Bank]],Tabela8[Produkt],Tabela6111315[[#This Row],[Produkt]],Tabela8[Miesiąc],styczeń!$B$11)</f>
        <v>0</v>
      </c>
      <c r="E7" s="2">
        <f ca="1">Tabela6111315[[#This Row],[Saldo początkowe]]+Tabela6111315[[#This Row],[Operacje]]</f>
        <v>0</v>
      </c>
      <c r="G7" t="s">
        <v>6</v>
      </c>
      <c r="H7" s="2">
        <f>SUMIFS(Tabela8[Kwota],Tabela8[Kategoria],Tabela9121416[[#This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SUMIFS(Tabela8[Kwota],Tabela8[Bank],Tabela6111315[[#This Row],[Bank]],Tabela8[Produkt],Tabela6111315[[#This Row],[Produkt]],Tabela8[Miesiąc],styczeń!$B$11)</f>
        <v>0</v>
      </c>
      <c r="E8" s="2">
        <f ca="1">Tabela6111315[[#This Row],[Saldo początkowe]]+Tabela6111315[[#This Row],[Operacje]]</f>
        <v>0</v>
      </c>
      <c r="G8" t="s">
        <v>8</v>
      </c>
      <c r="H8" s="2">
        <f>SUMIFS(Tabela8[Kwota],Tabela8[Kategoria],Tabela9121416[[#This Row],[Kategoria]],Tabela8[Miesiąc],styczeń!$B$11)</f>
        <v>0</v>
      </c>
    </row>
    <row r="9" spans="1:8" x14ac:dyDescent="0.25">
      <c r="A9" t="s">
        <v>37</v>
      </c>
      <c r="C9" s="2">
        <f ca="1">SUBTOTAL(109,Tabela6111315[Saldo początkowe])</f>
        <v>-150</v>
      </c>
      <c r="D9" s="2">
        <f>SUBTOTAL(109,Tabela6111315[Operacje])</f>
        <v>-50</v>
      </c>
      <c r="E9" s="2">
        <f ca="1">SUBTOTAL(109,Tabela6111315[Saldo Końcowe])</f>
        <v>-200</v>
      </c>
      <c r="G9" t="s">
        <v>9</v>
      </c>
      <c r="H9" s="2">
        <f>SUMIFS(Tabela8[Kwota],Tabela8[Kategoria],Tabela9121416[[#This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SUMIFS(Tabela8[Kwota],Tabela8[Kategoria],Tabela9121416[[#This Row],[Kategoria]],Tabela8[Miesiąc],styczeń!$B$11)</f>
        <v>0</v>
      </c>
    </row>
    <row r="11" spans="1:8" x14ac:dyDescent="0.25">
      <c r="A11" t="s">
        <v>28</v>
      </c>
      <c r="B11">
        <v>4</v>
      </c>
      <c r="C11" t="str">
        <f>TEXT(DATE(2025,B11,1),"mmmm")</f>
        <v>kwiecień</v>
      </c>
      <c r="G11" t="s">
        <v>11</v>
      </c>
      <c r="H11" s="2">
        <f>SUMIFS(Tabela8[Kwota],Tabela8[Kategoria],Tabela9121416[[#This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SUMIFS(Tabela8[Kwota],Tabela8[Kategoria],Tabela9121416[[#This Row],[Kategoria]],Tabela8[Miesiąc],styczeń!$B$11)</f>
        <v>0</v>
      </c>
    </row>
    <row r="14" spans="1:8" x14ac:dyDescent="0.25">
      <c r="A14" t="s">
        <v>16</v>
      </c>
      <c r="B14" s="2">
        <f>SUMIFS(Tabela8[Kwota],Tabela8[Typ],kwiecień!$A14,Tabela8[Miesiąc],kwiecień!$B$11)</f>
        <v>0</v>
      </c>
      <c r="G14" t="s">
        <v>13</v>
      </c>
      <c r="H14" s="2">
        <f>SUMIFS(Tabela8[Kwota],Tabela8[Kategoria],Tabela9121416[[#This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7AFA-8F70-4914-84D5-A3B73C583C27}">
  <dimension ref="A1:H1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SUMIFS(Tabela8[Kwota],Tabela8[Bank],Tabela611131517[[#This Row],[Bank]],Tabela8[Produkt],Tabela611131517[[#This Row],[Produkt]],Tabela8[Miesiąc],styczeń!$B$11)</f>
        <v>0</v>
      </c>
      <c r="E2" s="2">
        <f ca="1">Tabela611131517[[#This Row],[Saldo początkowe]]+Tabela611131517[[#This Row],[Operacje]]</f>
        <v>0</v>
      </c>
      <c r="G2" t="s">
        <v>1</v>
      </c>
      <c r="H2" s="2">
        <f>SUMIFS(Tabela8[Kwota],Tabela8[Kategoria],Tabela912141618[[#This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-200</v>
      </c>
      <c r="D3" s="2">
        <f>SUMIFS(Tabela8[Kwota],Tabela8[Bank],Tabela611131517[[#This Row],[Bank]],Tabela8[Produkt],Tabela611131517[[#This Row],[Produkt]],Tabela8[Miesiąc],styczeń!$B$11)</f>
        <v>-50</v>
      </c>
      <c r="E3" s="2">
        <f ca="1">Tabela611131517[[#This Row],[Saldo początkowe]]+Tabela611131517[[#This Row],[Operacje]]</f>
        <v>-250</v>
      </c>
      <c r="G3" t="s">
        <v>2</v>
      </c>
      <c r="H3" s="2">
        <f>SUMIFS(Tabela8[Kwota],Tabela8[Kategoria],Tabela912141618[[#This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SUMIFS(Tabela8[Kwota],Tabela8[Bank],Tabela611131517[[#This Row],[Bank]],Tabela8[Produkt],Tabela611131517[[#This Row],[Produkt]],Tabela8[Miesiąc],styczeń!$B$11)</f>
        <v>0</v>
      </c>
      <c r="E4" s="2">
        <f ca="1">Tabela611131517[[#This Row],[Saldo początkowe]]+Tabela611131517[[#This Row],[Operacje]]</f>
        <v>0</v>
      </c>
      <c r="G4" t="s">
        <v>3</v>
      </c>
      <c r="H4" s="2">
        <f>SUMIFS(Tabela8[Kwota],Tabela8[Kategoria],Tabela912141618[[#This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SUMIFS(Tabela8[Kwota],Tabela8[Bank],Tabela611131517[[#This Row],[Bank]],Tabela8[Produkt],Tabela611131517[[#This Row],[Produkt]],Tabela8[Miesiąc],styczeń!$B$11)</f>
        <v>0</v>
      </c>
      <c r="E5" s="2">
        <f ca="1">Tabela611131517[[#This Row],[Saldo początkowe]]+Tabela611131517[[#This Row],[Operacje]]</f>
        <v>0</v>
      </c>
      <c r="G5" t="s">
        <v>4</v>
      </c>
      <c r="H5" s="2">
        <f>SUMIFS(Tabela8[Kwota],Tabela8[Kategoria],Tabela912141618[[#This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SUMIFS(Tabela8[Kwota],Tabela8[Bank],Tabela611131517[[#This Row],[Bank]],Tabela8[Produkt],Tabela611131517[[#This Row],[Produkt]],Tabela8[Miesiąc],styczeń!$B$11)</f>
        <v>0</v>
      </c>
      <c r="E6" s="2">
        <f ca="1">Tabela611131517[[#This Row],[Saldo początkowe]]+Tabela611131517[[#This Row],[Operacje]]</f>
        <v>0</v>
      </c>
      <c r="G6" t="s">
        <v>5</v>
      </c>
      <c r="H6" s="2">
        <f>SUMIFS(Tabela8[Kwota],Tabela8[Kategoria],Tabela912141618[[#This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SUMIFS(Tabela8[Kwota],Tabela8[Bank],Tabela611131517[[#This Row],[Bank]],Tabela8[Produkt],Tabela611131517[[#This Row],[Produkt]],Tabela8[Miesiąc],styczeń!$B$11)</f>
        <v>0</v>
      </c>
      <c r="E7" s="2">
        <f ca="1">Tabela611131517[[#This Row],[Saldo początkowe]]+Tabela611131517[[#This Row],[Operacje]]</f>
        <v>0</v>
      </c>
      <c r="G7" t="s">
        <v>6</v>
      </c>
      <c r="H7" s="2">
        <f>SUMIFS(Tabela8[Kwota],Tabela8[Kategoria],Tabela912141618[[#This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SUMIFS(Tabela8[Kwota],Tabela8[Bank],Tabela611131517[[#This Row],[Bank]],Tabela8[Produkt],Tabela611131517[[#This Row],[Produkt]],Tabela8[Miesiąc],styczeń!$B$11)</f>
        <v>0</v>
      </c>
      <c r="E8" s="2">
        <f ca="1">Tabela611131517[[#This Row],[Saldo początkowe]]+Tabela611131517[[#This Row],[Operacje]]</f>
        <v>0</v>
      </c>
      <c r="G8" t="s">
        <v>8</v>
      </c>
      <c r="H8" s="2">
        <f>SUMIFS(Tabela8[Kwota],Tabela8[Kategoria],Tabela912141618[[#This Row],[Kategoria]],Tabela8[Miesiąc],styczeń!$B$11)</f>
        <v>0</v>
      </c>
    </row>
    <row r="9" spans="1:8" x14ac:dyDescent="0.25">
      <c r="A9" t="s">
        <v>37</v>
      </c>
      <c r="C9" s="2">
        <f ca="1">SUBTOTAL(109,Tabela611131517[Saldo początkowe])</f>
        <v>-200</v>
      </c>
      <c r="D9" s="2">
        <f>SUBTOTAL(109,Tabela611131517[Operacje])</f>
        <v>-50</v>
      </c>
      <c r="E9" s="2">
        <f ca="1">SUBTOTAL(109,Tabela611131517[Saldo Końcowe])</f>
        <v>-250</v>
      </c>
      <c r="G9" t="s">
        <v>9</v>
      </c>
      <c r="H9" s="2">
        <f>SUMIFS(Tabela8[Kwota],Tabela8[Kategoria],Tabela912141618[[#This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SUMIFS(Tabela8[Kwota],Tabela8[Kategoria],Tabela912141618[[#This Row],[Kategoria]],Tabela8[Miesiąc],styczeń!$B$11)</f>
        <v>0</v>
      </c>
    </row>
    <row r="11" spans="1:8" x14ac:dyDescent="0.25">
      <c r="A11" t="s">
        <v>28</v>
      </c>
      <c r="B11">
        <v>5</v>
      </c>
      <c r="C11" t="str">
        <f>TEXT(DATE(2025,B11,1),"mmmm")</f>
        <v>maj</v>
      </c>
      <c r="G11" t="s">
        <v>11</v>
      </c>
      <c r="H11" s="2">
        <f>SUMIFS(Tabela8[Kwota],Tabela8[Kategoria],Tabela912141618[[#This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SUMIFS(Tabela8[Kwota],Tabela8[Kategoria],Tabela912141618[[#This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SUMIFS(Tabela8[Kwota],Tabela8[Kategoria],Tabela912141618[[#This Row],[Kategoria]],Tabela8[Miesiąc],styczeń!$B$11)</f>
        <v>0</v>
      </c>
    </row>
    <row r="14" spans="1:8" x14ac:dyDescent="0.25">
      <c r="A14" t="s">
        <v>16</v>
      </c>
      <c r="B14" s="2">
        <f>SUMIFS(Tabela8[Kwota],Tabela8[Typ],maj!$A14,Tabela8[Miesiąc],maj!$B$11)</f>
        <v>0</v>
      </c>
      <c r="G14" t="s">
        <v>13</v>
      </c>
      <c r="H14" s="2">
        <f>SUMIFS(Tabela8[Kwota],Tabela8[Kategoria],Tabela912141618[[#This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SUMIFS(Tabela8[Kwota],Tabela8[Kategoria],Tabela912141618[[#This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SUMIFS(Tabela8[Kwota],Tabela8[Kategoria],Tabela912141618[[#This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C639-E2F5-4C99-A84D-894CD46C8ABD}">
  <dimension ref="A1:H1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SUMIFS(Tabela8[Kwota],Tabela8[Bank],Tabela61113151719[[#This Row],[Bank]],Tabela8[Produkt],Tabela61113151719[[#This Row],[Produkt]],Tabela8[Miesiąc],styczeń!$B$11)</f>
        <v>0</v>
      </c>
      <c r="E2" s="2">
        <f ca="1">Tabela61113151719[[#This Row],[Saldo początkowe]]+Tabela61113151719[[#This Row],[Operacje]]</f>
        <v>0</v>
      </c>
      <c r="G2" t="s">
        <v>1</v>
      </c>
      <c r="H2" s="2">
        <f>SUMIFS(Tabela8[Kwota],Tabela8[Kategoria],Tabela91214161820[[#This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-250</v>
      </c>
      <c r="D3" s="2">
        <f>SUMIFS(Tabela8[Kwota],Tabela8[Bank],Tabela61113151719[[#This Row],[Bank]],Tabela8[Produkt],Tabela61113151719[[#This Row],[Produkt]],Tabela8[Miesiąc],styczeń!$B$11)</f>
        <v>-50</v>
      </c>
      <c r="E3" s="2">
        <f ca="1">Tabela61113151719[[#This Row],[Saldo początkowe]]+Tabela61113151719[[#This Row],[Operacje]]</f>
        <v>-300</v>
      </c>
      <c r="G3" t="s">
        <v>2</v>
      </c>
      <c r="H3" s="2">
        <f>SUMIFS(Tabela8[Kwota],Tabela8[Kategoria],Tabela91214161820[[#This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SUMIFS(Tabela8[Kwota],Tabela8[Bank],Tabela61113151719[[#This Row],[Bank]],Tabela8[Produkt],Tabela61113151719[[#This Row],[Produkt]],Tabela8[Miesiąc],styczeń!$B$11)</f>
        <v>0</v>
      </c>
      <c r="E4" s="2">
        <f ca="1">Tabela61113151719[[#This Row],[Saldo początkowe]]+Tabela61113151719[[#This Row],[Operacje]]</f>
        <v>0</v>
      </c>
      <c r="G4" t="s">
        <v>3</v>
      </c>
      <c r="H4" s="2">
        <f>SUMIFS(Tabela8[Kwota],Tabela8[Kategoria],Tabela91214161820[[#This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SUMIFS(Tabela8[Kwota],Tabela8[Bank],Tabela61113151719[[#This Row],[Bank]],Tabela8[Produkt],Tabela61113151719[[#This Row],[Produkt]],Tabela8[Miesiąc],styczeń!$B$11)</f>
        <v>0</v>
      </c>
      <c r="E5" s="2">
        <f ca="1">Tabela61113151719[[#This Row],[Saldo początkowe]]+Tabela61113151719[[#This Row],[Operacje]]</f>
        <v>0</v>
      </c>
      <c r="G5" t="s">
        <v>4</v>
      </c>
      <c r="H5" s="2">
        <f>SUMIFS(Tabela8[Kwota],Tabela8[Kategoria],Tabela91214161820[[#This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SUMIFS(Tabela8[Kwota],Tabela8[Bank],Tabela61113151719[[#This Row],[Bank]],Tabela8[Produkt],Tabela61113151719[[#This Row],[Produkt]],Tabela8[Miesiąc],styczeń!$B$11)</f>
        <v>0</v>
      </c>
      <c r="E6" s="2">
        <f ca="1">Tabela61113151719[[#This Row],[Saldo początkowe]]+Tabela61113151719[[#This Row],[Operacje]]</f>
        <v>0</v>
      </c>
      <c r="G6" t="s">
        <v>5</v>
      </c>
      <c r="H6" s="2">
        <f>SUMIFS(Tabela8[Kwota],Tabela8[Kategoria],Tabela91214161820[[#This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SUMIFS(Tabela8[Kwota],Tabela8[Bank],Tabela61113151719[[#This Row],[Bank]],Tabela8[Produkt],Tabela61113151719[[#This Row],[Produkt]],Tabela8[Miesiąc],styczeń!$B$11)</f>
        <v>0</v>
      </c>
      <c r="E7" s="2">
        <f ca="1">Tabela61113151719[[#This Row],[Saldo początkowe]]+Tabela61113151719[[#This Row],[Operacje]]</f>
        <v>0</v>
      </c>
      <c r="G7" t="s">
        <v>6</v>
      </c>
      <c r="H7" s="2">
        <f>SUMIFS(Tabela8[Kwota],Tabela8[Kategoria],Tabela91214161820[[#This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SUMIFS(Tabela8[Kwota],Tabela8[Bank],Tabela61113151719[[#This Row],[Bank]],Tabela8[Produkt],Tabela61113151719[[#This Row],[Produkt]],Tabela8[Miesiąc],styczeń!$B$11)</f>
        <v>0</v>
      </c>
      <c r="E8" s="2">
        <f ca="1">Tabela61113151719[[#This Row],[Saldo początkowe]]+Tabela61113151719[[#This Row],[Operacje]]</f>
        <v>0</v>
      </c>
      <c r="G8" t="s">
        <v>8</v>
      </c>
      <c r="H8" s="2">
        <f>SUMIFS(Tabela8[Kwota],Tabela8[Kategoria],Tabela91214161820[[#This Row],[Kategoria]],Tabela8[Miesiąc],styczeń!$B$11)</f>
        <v>0</v>
      </c>
    </row>
    <row r="9" spans="1:8" x14ac:dyDescent="0.25">
      <c r="A9" t="s">
        <v>37</v>
      </c>
      <c r="C9" s="2">
        <f ca="1">SUBTOTAL(109,Tabela61113151719[Saldo początkowe])</f>
        <v>-250</v>
      </c>
      <c r="D9" s="2">
        <f>SUBTOTAL(109,Tabela61113151719[Operacje])</f>
        <v>-50</v>
      </c>
      <c r="E9" s="2">
        <f ca="1">SUBTOTAL(109,Tabela61113151719[Saldo Końcowe])</f>
        <v>-300</v>
      </c>
      <c r="G9" t="s">
        <v>9</v>
      </c>
      <c r="H9" s="2">
        <f>SUMIFS(Tabela8[Kwota],Tabela8[Kategoria],Tabela91214161820[[#This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SUMIFS(Tabela8[Kwota],Tabela8[Kategoria],Tabela91214161820[[#This Row],[Kategoria]],Tabela8[Miesiąc],styczeń!$B$11)</f>
        <v>0</v>
      </c>
    </row>
    <row r="11" spans="1:8" x14ac:dyDescent="0.25">
      <c r="A11" t="s">
        <v>28</v>
      </c>
      <c r="B11">
        <v>6</v>
      </c>
      <c r="C11" t="str">
        <f>TEXT(DATE(2025,B11,1),"mmmm")</f>
        <v>czerwiec</v>
      </c>
      <c r="G11" t="s">
        <v>11</v>
      </c>
      <c r="H11" s="2">
        <f>SUMIFS(Tabela8[Kwota],Tabela8[Kategoria],Tabela91214161820[[#This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SUMIFS(Tabela8[Kwota],Tabela8[Kategoria],Tabela91214161820[[#This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SUMIFS(Tabela8[Kwota],Tabela8[Kategoria],Tabela91214161820[[#This Row],[Kategoria]],Tabela8[Miesiąc],styczeń!$B$11)</f>
        <v>0</v>
      </c>
    </row>
    <row r="14" spans="1:8" x14ac:dyDescent="0.25">
      <c r="A14" t="s">
        <v>16</v>
      </c>
      <c r="B14" s="2">
        <f>SUMIFS(Tabela8[Kwota],Tabela8[Typ],czerwiec!$A14,Tabela8[Miesiąc],czerwiec!$B$11)</f>
        <v>0</v>
      </c>
      <c r="G14" t="s">
        <v>13</v>
      </c>
      <c r="H14" s="2">
        <f>SUMIFS(Tabela8[Kwota],Tabela8[Kategoria],Tabela91214161820[[#This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SUMIFS(Tabela8[Kwota],Tabela8[Kategoria],Tabela91214161820[[#This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SUMIFS(Tabela8[Kwota],Tabela8[Kategoria],Tabela91214161820[[#This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4824-AB8A-47C8-9F46-19E0B28DDF50}">
  <dimension ref="A1:H1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SUMIFS(Tabela8[Kwota],Tabela8[Bank],Tabela6111315171921[[#This Row],[Bank]],Tabela8[Produkt],Tabela6111315171921[[#This Row],[Produkt]],Tabela8[Miesiąc],styczeń!$B$11)</f>
        <v>0</v>
      </c>
      <c r="E2" s="2">
        <f ca="1">Tabela6111315171921[[#This Row],[Saldo początkowe]]+Tabela6111315171921[[#This Row],[Operacje]]</f>
        <v>0</v>
      </c>
      <c r="G2" t="s">
        <v>1</v>
      </c>
      <c r="H2" s="2">
        <f>SUMIFS(Tabela8[Kwota],Tabela8[Kategoria],Tabela9121416182022[[#This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-300</v>
      </c>
      <c r="D3" s="2">
        <f>SUMIFS(Tabela8[Kwota],Tabela8[Bank],Tabela6111315171921[[#This Row],[Bank]],Tabela8[Produkt],Tabela6111315171921[[#This Row],[Produkt]],Tabela8[Miesiąc],styczeń!$B$11)</f>
        <v>-50</v>
      </c>
      <c r="E3" s="2">
        <f ca="1">Tabela6111315171921[[#This Row],[Saldo początkowe]]+Tabela6111315171921[[#This Row],[Operacje]]</f>
        <v>-350</v>
      </c>
      <c r="G3" t="s">
        <v>2</v>
      </c>
      <c r="H3" s="2">
        <f>SUMIFS(Tabela8[Kwota],Tabela8[Kategoria],Tabela9121416182022[[#This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SUMIFS(Tabela8[Kwota],Tabela8[Bank],Tabela6111315171921[[#This Row],[Bank]],Tabela8[Produkt],Tabela6111315171921[[#This Row],[Produkt]],Tabela8[Miesiąc],styczeń!$B$11)</f>
        <v>0</v>
      </c>
      <c r="E4" s="2">
        <f ca="1">Tabela6111315171921[[#This Row],[Saldo początkowe]]+Tabela6111315171921[[#This Row],[Operacje]]</f>
        <v>0</v>
      </c>
      <c r="G4" t="s">
        <v>3</v>
      </c>
      <c r="H4" s="2">
        <f>SUMIFS(Tabela8[Kwota],Tabela8[Kategoria],Tabela9121416182022[[#This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SUMIFS(Tabela8[Kwota],Tabela8[Bank],Tabela6111315171921[[#This Row],[Bank]],Tabela8[Produkt],Tabela6111315171921[[#This Row],[Produkt]],Tabela8[Miesiąc],styczeń!$B$11)</f>
        <v>0</v>
      </c>
      <c r="E5" s="2">
        <f ca="1">Tabela6111315171921[[#This Row],[Saldo początkowe]]+Tabela6111315171921[[#This Row],[Operacje]]</f>
        <v>0</v>
      </c>
      <c r="G5" t="s">
        <v>4</v>
      </c>
      <c r="H5" s="2">
        <f>SUMIFS(Tabela8[Kwota],Tabela8[Kategoria],Tabela9121416182022[[#This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SUMIFS(Tabela8[Kwota],Tabela8[Bank],Tabela6111315171921[[#This Row],[Bank]],Tabela8[Produkt],Tabela6111315171921[[#This Row],[Produkt]],Tabela8[Miesiąc],styczeń!$B$11)</f>
        <v>0</v>
      </c>
      <c r="E6" s="2">
        <f ca="1">Tabela6111315171921[[#This Row],[Saldo początkowe]]+Tabela6111315171921[[#This Row],[Operacje]]</f>
        <v>0</v>
      </c>
      <c r="G6" t="s">
        <v>5</v>
      </c>
      <c r="H6" s="2">
        <f>SUMIFS(Tabela8[Kwota],Tabela8[Kategoria],Tabela9121416182022[[#This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SUMIFS(Tabela8[Kwota],Tabela8[Bank],Tabela6111315171921[[#This Row],[Bank]],Tabela8[Produkt],Tabela6111315171921[[#This Row],[Produkt]],Tabela8[Miesiąc],styczeń!$B$11)</f>
        <v>0</v>
      </c>
      <c r="E7" s="2">
        <f ca="1">Tabela6111315171921[[#This Row],[Saldo początkowe]]+Tabela6111315171921[[#This Row],[Operacje]]</f>
        <v>0</v>
      </c>
      <c r="G7" t="s">
        <v>6</v>
      </c>
      <c r="H7" s="2">
        <f>SUMIFS(Tabela8[Kwota],Tabela8[Kategoria],Tabela9121416182022[[#This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SUMIFS(Tabela8[Kwota],Tabela8[Bank],Tabela6111315171921[[#This Row],[Bank]],Tabela8[Produkt],Tabela6111315171921[[#This Row],[Produkt]],Tabela8[Miesiąc],styczeń!$B$11)</f>
        <v>0</v>
      </c>
      <c r="E8" s="2">
        <f ca="1">Tabela6111315171921[[#This Row],[Saldo początkowe]]+Tabela6111315171921[[#This Row],[Operacje]]</f>
        <v>0</v>
      </c>
      <c r="G8" t="s">
        <v>8</v>
      </c>
      <c r="H8" s="2">
        <f>SUMIFS(Tabela8[Kwota],Tabela8[Kategoria],Tabela9121416182022[[#This Row],[Kategoria]],Tabela8[Miesiąc],styczeń!$B$11)</f>
        <v>0</v>
      </c>
    </row>
    <row r="9" spans="1:8" x14ac:dyDescent="0.25">
      <c r="A9" t="s">
        <v>37</v>
      </c>
      <c r="C9" s="2">
        <f ca="1">SUBTOTAL(109,Tabela6111315171921[Saldo początkowe])</f>
        <v>-300</v>
      </c>
      <c r="D9" s="2">
        <f>SUBTOTAL(109,Tabela6111315171921[Operacje])</f>
        <v>-50</v>
      </c>
      <c r="E9" s="2">
        <f ca="1">SUBTOTAL(109,Tabela6111315171921[Saldo Końcowe])</f>
        <v>-350</v>
      </c>
      <c r="G9" t="s">
        <v>9</v>
      </c>
      <c r="H9" s="2">
        <f>SUMIFS(Tabela8[Kwota],Tabela8[Kategoria],Tabela9121416182022[[#This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SUMIFS(Tabela8[Kwota],Tabela8[Kategoria],Tabela9121416182022[[#This Row],[Kategoria]],Tabela8[Miesiąc],styczeń!$B$11)</f>
        <v>0</v>
      </c>
    </row>
    <row r="11" spans="1:8" x14ac:dyDescent="0.25">
      <c r="A11" t="s">
        <v>28</v>
      </c>
      <c r="B11">
        <v>7</v>
      </c>
      <c r="C11" t="str">
        <f>TEXT(DATE(2025,B11,1),"mmmm")</f>
        <v>lipiec</v>
      </c>
      <c r="G11" t="s">
        <v>11</v>
      </c>
      <c r="H11" s="2">
        <f>SUMIFS(Tabela8[Kwota],Tabela8[Kategoria],Tabela9121416182022[[#This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SUMIFS(Tabela8[Kwota],Tabela8[Kategoria],Tabela9121416182022[[#This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SUMIFS(Tabela8[Kwota],Tabela8[Kategoria],Tabela9121416182022[[#This Row],[Kategoria]],Tabela8[Miesiąc],styczeń!$B$11)</f>
        <v>0</v>
      </c>
    </row>
    <row r="14" spans="1:8" x14ac:dyDescent="0.25">
      <c r="A14" t="s">
        <v>16</v>
      </c>
      <c r="B14" s="2">
        <f>SUMIFS(Tabela8[Kwota],Tabela8[Typ],lipiec!$A14,Tabela8[Miesiąc],lipiec!$B$11)</f>
        <v>0</v>
      </c>
      <c r="G14" t="s">
        <v>13</v>
      </c>
      <c r="H14" s="2">
        <f>SUMIFS(Tabela8[Kwota],Tabela8[Kategoria],Tabela9121416182022[[#This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SUMIFS(Tabela8[Kwota],Tabela8[Kategoria],Tabela9121416182022[[#This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SUMIFS(Tabela8[Kwota],Tabela8[Kategoria],Tabela9121416182022[[#This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C0EC-E68B-4D9D-9416-D476A5F79B51}">
  <dimension ref="A1:H1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SUMIFS(Tabela8[Kwota],Tabela8[Bank],Tabela611131517192123[[#This Row],[Bank]],Tabela8[Produkt],Tabela611131517192123[[#This Row],[Produkt]],Tabela8[Miesiąc],styczeń!$B$11)</f>
        <v>0</v>
      </c>
      <c r="E2" s="2">
        <f ca="1">Tabela611131517192123[[#This Row],[Saldo początkowe]]+Tabela611131517192123[[#This Row],[Operacje]]</f>
        <v>0</v>
      </c>
      <c r="G2" t="s">
        <v>1</v>
      </c>
      <c r="H2" s="2">
        <f>SUMIFS(Tabela8[Kwota],Tabela8[Kategoria],Tabela912141618202224[[#This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-350</v>
      </c>
      <c r="D3" s="2">
        <f>SUMIFS(Tabela8[Kwota],Tabela8[Bank],Tabela611131517192123[[#This Row],[Bank]],Tabela8[Produkt],Tabela611131517192123[[#This Row],[Produkt]],Tabela8[Miesiąc],styczeń!$B$11)</f>
        <v>-50</v>
      </c>
      <c r="E3" s="2">
        <f ca="1">Tabela611131517192123[[#This Row],[Saldo początkowe]]+Tabela611131517192123[[#This Row],[Operacje]]</f>
        <v>-400</v>
      </c>
      <c r="G3" t="s">
        <v>2</v>
      </c>
      <c r="H3" s="2">
        <f>SUMIFS(Tabela8[Kwota],Tabela8[Kategoria],Tabela912141618202224[[#This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SUMIFS(Tabela8[Kwota],Tabela8[Bank],Tabela611131517192123[[#This Row],[Bank]],Tabela8[Produkt],Tabela611131517192123[[#This Row],[Produkt]],Tabela8[Miesiąc],styczeń!$B$11)</f>
        <v>0</v>
      </c>
      <c r="E4" s="2">
        <f ca="1">Tabela611131517192123[[#This Row],[Saldo początkowe]]+Tabela611131517192123[[#This Row],[Operacje]]</f>
        <v>0</v>
      </c>
      <c r="G4" t="s">
        <v>3</v>
      </c>
      <c r="H4" s="2">
        <f>SUMIFS(Tabela8[Kwota],Tabela8[Kategoria],Tabela912141618202224[[#This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SUMIFS(Tabela8[Kwota],Tabela8[Bank],Tabela611131517192123[[#This Row],[Bank]],Tabela8[Produkt],Tabela611131517192123[[#This Row],[Produkt]],Tabela8[Miesiąc],styczeń!$B$11)</f>
        <v>0</v>
      </c>
      <c r="E5" s="2">
        <f ca="1">Tabela611131517192123[[#This Row],[Saldo początkowe]]+Tabela611131517192123[[#This Row],[Operacje]]</f>
        <v>0</v>
      </c>
      <c r="G5" t="s">
        <v>4</v>
      </c>
      <c r="H5" s="2">
        <f>SUMIFS(Tabela8[Kwota],Tabela8[Kategoria],Tabela912141618202224[[#This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SUMIFS(Tabela8[Kwota],Tabela8[Bank],Tabela611131517192123[[#This Row],[Bank]],Tabela8[Produkt],Tabela611131517192123[[#This Row],[Produkt]],Tabela8[Miesiąc],styczeń!$B$11)</f>
        <v>0</v>
      </c>
      <c r="E6" s="2">
        <f ca="1">Tabela611131517192123[[#This Row],[Saldo początkowe]]+Tabela611131517192123[[#This Row],[Operacje]]</f>
        <v>0</v>
      </c>
      <c r="G6" t="s">
        <v>5</v>
      </c>
      <c r="H6" s="2">
        <f>SUMIFS(Tabela8[Kwota],Tabela8[Kategoria],Tabela912141618202224[[#This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SUMIFS(Tabela8[Kwota],Tabela8[Bank],Tabela611131517192123[[#This Row],[Bank]],Tabela8[Produkt],Tabela611131517192123[[#This Row],[Produkt]],Tabela8[Miesiąc],styczeń!$B$11)</f>
        <v>0</v>
      </c>
      <c r="E7" s="2">
        <f ca="1">Tabela611131517192123[[#This Row],[Saldo początkowe]]+Tabela611131517192123[[#This Row],[Operacje]]</f>
        <v>0</v>
      </c>
      <c r="G7" t="s">
        <v>6</v>
      </c>
      <c r="H7" s="2">
        <f>SUMIFS(Tabela8[Kwota],Tabela8[Kategoria],Tabela912141618202224[[#This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SUMIFS(Tabela8[Kwota],Tabela8[Bank],Tabela611131517192123[[#This Row],[Bank]],Tabela8[Produkt],Tabela611131517192123[[#This Row],[Produkt]],Tabela8[Miesiąc],styczeń!$B$11)</f>
        <v>0</v>
      </c>
      <c r="E8" s="2">
        <f ca="1">Tabela611131517192123[[#This Row],[Saldo początkowe]]+Tabela611131517192123[[#This Row],[Operacje]]</f>
        <v>0</v>
      </c>
      <c r="G8" t="s">
        <v>8</v>
      </c>
      <c r="H8" s="2">
        <f>SUMIFS(Tabela8[Kwota],Tabela8[Kategoria],Tabela912141618202224[[#This Row],[Kategoria]],Tabela8[Miesiąc],styczeń!$B$11)</f>
        <v>0</v>
      </c>
    </row>
    <row r="9" spans="1:8" x14ac:dyDescent="0.25">
      <c r="A9" t="s">
        <v>37</v>
      </c>
      <c r="C9" s="2">
        <f ca="1">SUBTOTAL(109,Tabela611131517192123[Saldo początkowe])</f>
        <v>-350</v>
      </c>
      <c r="D9" s="2">
        <f>SUBTOTAL(109,Tabela611131517192123[Operacje])</f>
        <v>-50</v>
      </c>
      <c r="E9" s="2">
        <f ca="1">SUBTOTAL(109,Tabela611131517192123[Saldo Końcowe])</f>
        <v>-400</v>
      </c>
      <c r="G9" t="s">
        <v>9</v>
      </c>
      <c r="H9" s="2">
        <f>SUMIFS(Tabela8[Kwota],Tabela8[Kategoria],Tabela912141618202224[[#This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SUMIFS(Tabela8[Kwota],Tabela8[Kategoria],Tabela912141618202224[[#This Row],[Kategoria]],Tabela8[Miesiąc],styczeń!$B$11)</f>
        <v>0</v>
      </c>
    </row>
    <row r="11" spans="1:8" x14ac:dyDescent="0.25">
      <c r="A11" t="s">
        <v>28</v>
      </c>
      <c r="B11">
        <v>8</v>
      </c>
      <c r="C11" t="str">
        <f>TEXT(DATE(2025,B11,1),"mmmm")</f>
        <v>sierpień</v>
      </c>
      <c r="G11" t="s">
        <v>11</v>
      </c>
      <c r="H11" s="2">
        <f>SUMIFS(Tabela8[Kwota],Tabela8[Kategoria],Tabela912141618202224[[#This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SUMIFS(Tabela8[Kwota],Tabela8[Kategoria],Tabela912141618202224[[#This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SUMIFS(Tabela8[Kwota],Tabela8[Kategoria],Tabela912141618202224[[#This Row],[Kategoria]],Tabela8[Miesiąc],styczeń!$B$11)</f>
        <v>0</v>
      </c>
    </row>
    <row r="14" spans="1:8" x14ac:dyDescent="0.25">
      <c r="A14" t="s">
        <v>16</v>
      </c>
      <c r="B14" s="2">
        <f>SUMIFS(Tabela8[Kwota],Tabela8[Typ],sierpień!$A14,Tabela8[Miesiąc],sierpień!$B$11)</f>
        <v>0</v>
      </c>
      <c r="G14" t="s">
        <v>13</v>
      </c>
      <c r="H14" s="2">
        <f>SUMIFS(Tabela8[Kwota],Tabela8[Kategoria],Tabela912141618202224[[#This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SUMIFS(Tabela8[Kwota],Tabela8[Kategoria],Tabela912141618202224[[#This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SUMIFS(Tabela8[Kwota],Tabela8[Kategoria],Tabela912141618202224[[#This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D198C-BBEE-4649-83C2-C38A4941B160}">
  <dimension ref="A1:H1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SUMIFS(Tabela8[Kwota],Tabela8[Bank],Tabela61113151719212325[[#This Row],[Bank]],Tabela8[Produkt],Tabela61113151719212325[[#This Row],[Produkt]],Tabela8[Miesiąc],styczeń!$B$11)</f>
        <v>0</v>
      </c>
      <c r="E2" s="2">
        <f ca="1">Tabela61113151719212325[[#This Row],[Saldo początkowe]]+Tabela61113151719212325[[#This Row],[Operacje]]</f>
        <v>0</v>
      </c>
      <c r="G2" t="s">
        <v>1</v>
      </c>
      <c r="H2" s="2">
        <f>SUMIFS(Tabela8[Kwota],Tabela8[Kategoria],Tabela91214161820222426[[#This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-400</v>
      </c>
      <c r="D3" s="2">
        <f>SUMIFS(Tabela8[Kwota],Tabela8[Bank],Tabela61113151719212325[[#This Row],[Bank]],Tabela8[Produkt],Tabela61113151719212325[[#This Row],[Produkt]],Tabela8[Miesiąc],styczeń!$B$11)</f>
        <v>-50</v>
      </c>
      <c r="E3" s="2">
        <f ca="1">Tabela61113151719212325[[#This Row],[Saldo początkowe]]+Tabela61113151719212325[[#This Row],[Operacje]]</f>
        <v>-450</v>
      </c>
      <c r="G3" t="s">
        <v>2</v>
      </c>
      <c r="H3" s="2">
        <f>SUMIFS(Tabela8[Kwota],Tabela8[Kategoria],Tabela91214161820222426[[#This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SUMIFS(Tabela8[Kwota],Tabela8[Bank],Tabela61113151719212325[[#This Row],[Bank]],Tabela8[Produkt],Tabela61113151719212325[[#This Row],[Produkt]],Tabela8[Miesiąc],styczeń!$B$11)</f>
        <v>0</v>
      </c>
      <c r="E4" s="2">
        <f ca="1">Tabela61113151719212325[[#This Row],[Saldo początkowe]]+Tabela61113151719212325[[#This Row],[Operacje]]</f>
        <v>0</v>
      </c>
      <c r="G4" t="s">
        <v>3</v>
      </c>
      <c r="H4" s="2">
        <f>SUMIFS(Tabela8[Kwota],Tabela8[Kategoria],Tabela91214161820222426[[#This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SUMIFS(Tabela8[Kwota],Tabela8[Bank],Tabela61113151719212325[[#This Row],[Bank]],Tabela8[Produkt],Tabela61113151719212325[[#This Row],[Produkt]],Tabela8[Miesiąc],styczeń!$B$11)</f>
        <v>0</v>
      </c>
      <c r="E5" s="2">
        <f ca="1">Tabela61113151719212325[[#This Row],[Saldo początkowe]]+Tabela61113151719212325[[#This Row],[Operacje]]</f>
        <v>0</v>
      </c>
      <c r="G5" t="s">
        <v>4</v>
      </c>
      <c r="H5" s="2">
        <f>SUMIFS(Tabela8[Kwota],Tabela8[Kategoria],Tabela91214161820222426[[#This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SUMIFS(Tabela8[Kwota],Tabela8[Bank],Tabela61113151719212325[[#This Row],[Bank]],Tabela8[Produkt],Tabela61113151719212325[[#This Row],[Produkt]],Tabela8[Miesiąc],styczeń!$B$11)</f>
        <v>0</v>
      </c>
      <c r="E6" s="2">
        <f ca="1">Tabela61113151719212325[[#This Row],[Saldo początkowe]]+Tabela61113151719212325[[#This Row],[Operacje]]</f>
        <v>0</v>
      </c>
      <c r="G6" t="s">
        <v>5</v>
      </c>
      <c r="H6" s="2">
        <f>SUMIFS(Tabela8[Kwota],Tabela8[Kategoria],Tabela91214161820222426[[#This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SUMIFS(Tabela8[Kwota],Tabela8[Bank],Tabela61113151719212325[[#This Row],[Bank]],Tabela8[Produkt],Tabela61113151719212325[[#This Row],[Produkt]],Tabela8[Miesiąc],styczeń!$B$11)</f>
        <v>0</v>
      </c>
      <c r="E7" s="2">
        <f ca="1">Tabela61113151719212325[[#This Row],[Saldo początkowe]]+Tabela61113151719212325[[#This Row],[Operacje]]</f>
        <v>0</v>
      </c>
      <c r="G7" t="s">
        <v>6</v>
      </c>
      <c r="H7" s="2">
        <f>SUMIFS(Tabela8[Kwota],Tabela8[Kategoria],Tabela91214161820222426[[#This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SUMIFS(Tabela8[Kwota],Tabela8[Bank],Tabela61113151719212325[[#This Row],[Bank]],Tabela8[Produkt],Tabela61113151719212325[[#This Row],[Produkt]],Tabela8[Miesiąc],styczeń!$B$11)</f>
        <v>0</v>
      </c>
      <c r="E8" s="2">
        <f ca="1">Tabela61113151719212325[[#This Row],[Saldo początkowe]]+Tabela61113151719212325[[#This Row],[Operacje]]</f>
        <v>0</v>
      </c>
      <c r="G8" t="s">
        <v>8</v>
      </c>
      <c r="H8" s="2">
        <f>SUMIFS(Tabela8[Kwota],Tabela8[Kategoria],Tabela91214161820222426[[#This Row],[Kategoria]],Tabela8[Miesiąc],styczeń!$B$11)</f>
        <v>0</v>
      </c>
    </row>
    <row r="9" spans="1:8" x14ac:dyDescent="0.25">
      <c r="A9" t="s">
        <v>37</v>
      </c>
      <c r="C9" s="2">
        <f ca="1">SUBTOTAL(109,Tabela61113151719212325[Saldo początkowe])</f>
        <v>-400</v>
      </c>
      <c r="D9" s="2">
        <f>SUBTOTAL(109,Tabela61113151719212325[Operacje])</f>
        <v>-50</v>
      </c>
      <c r="E9" s="2">
        <f ca="1">SUBTOTAL(109,Tabela61113151719212325[Saldo Końcowe])</f>
        <v>-450</v>
      </c>
      <c r="G9" t="s">
        <v>9</v>
      </c>
      <c r="H9" s="2">
        <f>SUMIFS(Tabela8[Kwota],Tabela8[Kategoria],Tabela91214161820222426[[#This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SUMIFS(Tabela8[Kwota],Tabela8[Kategoria],Tabela91214161820222426[[#This Row],[Kategoria]],Tabela8[Miesiąc],styczeń!$B$11)</f>
        <v>0</v>
      </c>
    </row>
    <row r="11" spans="1:8" x14ac:dyDescent="0.25">
      <c r="A11" t="s">
        <v>28</v>
      </c>
      <c r="B11">
        <v>9</v>
      </c>
      <c r="C11" t="str">
        <f>TEXT(DATE(2025,B11,1),"mmmm")</f>
        <v>wrzesień</v>
      </c>
      <c r="G11" t="s">
        <v>11</v>
      </c>
      <c r="H11" s="2">
        <f>SUMIFS(Tabela8[Kwota],Tabela8[Kategoria],Tabela91214161820222426[[#This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SUMIFS(Tabela8[Kwota],Tabela8[Kategoria],Tabela91214161820222426[[#This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SUMIFS(Tabela8[Kwota],Tabela8[Kategoria],Tabela91214161820222426[[#This Row],[Kategoria]],Tabela8[Miesiąc],styczeń!$B$11)</f>
        <v>0</v>
      </c>
    </row>
    <row r="14" spans="1:8" x14ac:dyDescent="0.25">
      <c r="A14" t="s">
        <v>16</v>
      </c>
      <c r="B14" s="2">
        <f>SUMIFS(Tabela8[Kwota],Tabela8[Typ],wrzesień!$A14,Tabela8[Miesiąc],wrzesień!$B$11)</f>
        <v>0</v>
      </c>
      <c r="G14" t="s">
        <v>13</v>
      </c>
      <c r="H14" s="2">
        <f>SUMIFS(Tabela8[Kwota],Tabela8[Kategoria],Tabela91214161820222426[[#This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SUMIFS(Tabela8[Kwota],Tabela8[Kategoria],Tabela91214161820222426[[#This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SUMIFS(Tabela8[Kwota],Tabela8[Kategoria],Tabela91214161820222426[[#This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1A6A-7FC7-473D-A0F9-0E44D7B3C6EE}">
  <dimension ref="A1:H1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SUMIFS(Tabela8[Kwota],Tabela8[Bank],Tabela6111315171921232527[[#This Row],[Bank]],Tabela8[Produkt],Tabela6111315171921232527[[#This Row],[Produkt]],Tabela8[Miesiąc],styczeń!$B$11)</f>
        <v>0</v>
      </c>
      <c r="E2" s="2">
        <f ca="1">Tabela6111315171921232527[[#This Row],[Saldo początkowe]]+Tabela6111315171921232527[[#This Row],[Operacje]]</f>
        <v>0</v>
      </c>
      <c r="G2" t="s">
        <v>1</v>
      </c>
      <c r="H2" s="2">
        <f>SUMIFS(Tabela8[Kwota],Tabela8[Kategoria],Tabela9121416182022242628[[#This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-450</v>
      </c>
      <c r="D3" s="2">
        <f>SUMIFS(Tabela8[Kwota],Tabela8[Bank],Tabela6111315171921232527[[#This Row],[Bank]],Tabela8[Produkt],Tabela6111315171921232527[[#This Row],[Produkt]],Tabela8[Miesiąc],styczeń!$B$11)</f>
        <v>-50</v>
      </c>
      <c r="E3" s="2">
        <f ca="1">Tabela6111315171921232527[[#This Row],[Saldo początkowe]]+Tabela6111315171921232527[[#This Row],[Operacje]]</f>
        <v>-500</v>
      </c>
      <c r="G3" t="s">
        <v>2</v>
      </c>
      <c r="H3" s="2">
        <f>SUMIFS(Tabela8[Kwota],Tabela8[Kategoria],Tabela9121416182022242628[[#This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SUMIFS(Tabela8[Kwota],Tabela8[Bank],Tabela6111315171921232527[[#This Row],[Bank]],Tabela8[Produkt],Tabela6111315171921232527[[#This Row],[Produkt]],Tabela8[Miesiąc],styczeń!$B$11)</f>
        <v>0</v>
      </c>
      <c r="E4" s="2">
        <f ca="1">Tabela6111315171921232527[[#This Row],[Saldo początkowe]]+Tabela6111315171921232527[[#This Row],[Operacje]]</f>
        <v>0</v>
      </c>
      <c r="G4" t="s">
        <v>3</v>
      </c>
      <c r="H4" s="2">
        <f>SUMIFS(Tabela8[Kwota],Tabela8[Kategoria],Tabela9121416182022242628[[#This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SUMIFS(Tabela8[Kwota],Tabela8[Bank],Tabela6111315171921232527[[#This Row],[Bank]],Tabela8[Produkt],Tabela6111315171921232527[[#This Row],[Produkt]],Tabela8[Miesiąc],styczeń!$B$11)</f>
        <v>0</v>
      </c>
      <c r="E5" s="2">
        <f ca="1">Tabela6111315171921232527[[#This Row],[Saldo początkowe]]+Tabela6111315171921232527[[#This Row],[Operacje]]</f>
        <v>0</v>
      </c>
      <c r="G5" t="s">
        <v>4</v>
      </c>
      <c r="H5" s="2">
        <f>SUMIFS(Tabela8[Kwota],Tabela8[Kategoria],Tabela9121416182022242628[[#This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SUMIFS(Tabela8[Kwota],Tabela8[Bank],Tabela6111315171921232527[[#This Row],[Bank]],Tabela8[Produkt],Tabela6111315171921232527[[#This Row],[Produkt]],Tabela8[Miesiąc],styczeń!$B$11)</f>
        <v>0</v>
      </c>
      <c r="E6" s="2">
        <f ca="1">Tabela6111315171921232527[[#This Row],[Saldo początkowe]]+Tabela6111315171921232527[[#This Row],[Operacje]]</f>
        <v>0</v>
      </c>
      <c r="G6" t="s">
        <v>5</v>
      </c>
      <c r="H6" s="2">
        <f>SUMIFS(Tabela8[Kwota],Tabela8[Kategoria],Tabela9121416182022242628[[#This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SUMIFS(Tabela8[Kwota],Tabela8[Bank],Tabela6111315171921232527[[#This Row],[Bank]],Tabela8[Produkt],Tabela6111315171921232527[[#This Row],[Produkt]],Tabela8[Miesiąc],styczeń!$B$11)</f>
        <v>0</v>
      </c>
      <c r="E7" s="2">
        <f ca="1">Tabela6111315171921232527[[#This Row],[Saldo początkowe]]+Tabela6111315171921232527[[#This Row],[Operacje]]</f>
        <v>0</v>
      </c>
      <c r="G7" t="s">
        <v>6</v>
      </c>
      <c r="H7" s="2">
        <f>SUMIFS(Tabela8[Kwota],Tabela8[Kategoria],Tabela9121416182022242628[[#This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SUMIFS(Tabela8[Kwota],Tabela8[Bank],Tabela6111315171921232527[[#This Row],[Bank]],Tabela8[Produkt],Tabela6111315171921232527[[#This Row],[Produkt]],Tabela8[Miesiąc],styczeń!$B$11)</f>
        <v>0</v>
      </c>
      <c r="E8" s="2">
        <f ca="1">Tabela6111315171921232527[[#This Row],[Saldo początkowe]]+Tabela6111315171921232527[[#This Row],[Operacje]]</f>
        <v>0</v>
      </c>
      <c r="G8" t="s">
        <v>8</v>
      </c>
      <c r="H8" s="2">
        <f>SUMIFS(Tabela8[Kwota],Tabela8[Kategoria],Tabela9121416182022242628[[#This Row],[Kategoria]],Tabela8[Miesiąc],styczeń!$B$11)</f>
        <v>0</v>
      </c>
    </row>
    <row r="9" spans="1:8" x14ac:dyDescent="0.25">
      <c r="A9" t="s">
        <v>37</v>
      </c>
      <c r="C9" s="2">
        <f ca="1">SUBTOTAL(109,Tabela6111315171921232527[Saldo początkowe])</f>
        <v>-450</v>
      </c>
      <c r="D9" s="2">
        <f>SUBTOTAL(109,Tabela6111315171921232527[Operacje])</f>
        <v>-50</v>
      </c>
      <c r="E9" s="2">
        <f ca="1">SUBTOTAL(109,Tabela6111315171921232527[Saldo Końcowe])</f>
        <v>-500</v>
      </c>
      <c r="G9" t="s">
        <v>9</v>
      </c>
      <c r="H9" s="2">
        <f>SUMIFS(Tabela8[Kwota],Tabela8[Kategoria],Tabela9121416182022242628[[#This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SUMIFS(Tabela8[Kwota],Tabela8[Kategoria],Tabela9121416182022242628[[#This Row],[Kategoria]],Tabela8[Miesiąc],styczeń!$B$11)</f>
        <v>0</v>
      </c>
    </row>
    <row r="11" spans="1:8" x14ac:dyDescent="0.25">
      <c r="A11" t="s">
        <v>28</v>
      </c>
      <c r="B11">
        <v>10</v>
      </c>
      <c r="C11" t="str">
        <f>TEXT(DATE(2025,B11,1),"mmmm")</f>
        <v>październik</v>
      </c>
      <c r="G11" t="s">
        <v>11</v>
      </c>
      <c r="H11" s="2">
        <f>SUMIFS(Tabela8[Kwota],Tabela8[Kategoria],Tabela9121416182022242628[[#This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SUMIFS(Tabela8[Kwota],Tabela8[Kategoria],Tabela9121416182022242628[[#This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SUMIFS(Tabela8[Kwota],Tabela8[Kategoria],Tabela9121416182022242628[[#This Row],[Kategoria]],Tabela8[Miesiąc],styczeń!$B$11)</f>
        <v>0</v>
      </c>
    </row>
    <row r="14" spans="1:8" x14ac:dyDescent="0.25">
      <c r="A14" t="s">
        <v>16</v>
      </c>
      <c r="B14" s="2">
        <f>SUMIFS(Tabela8[Kwota],Tabela8[Typ],październik!$A14,Tabela8[Miesiąc],październik!$B$11)</f>
        <v>0</v>
      </c>
      <c r="G14" t="s">
        <v>13</v>
      </c>
      <c r="H14" s="2">
        <f>SUMIFS(Tabela8[Kwota],Tabela8[Kategoria],Tabela9121416182022242628[[#This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SUMIFS(Tabela8[Kwota],Tabela8[Kategoria],Tabela9121416182022242628[[#This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SUMIFS(Tabela8[Kwota],Tabela8[Kategoria],Tabela9121416182022242628[[#This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5F6C-16DB-4270-8314-F690F28DE3B9}">
  <dimension ref="A1:H16"/>
  <sheetViews>
    <sheetView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SUMIFS(Tabela8[Kwota],Tabela8[Bank],Tabela611131517192123252729[[#This Row],[Bank]],Tabela8[Produkt],Tabela611131517192123252729[[#This Row],[Produkt]],Tabela8[Miesiąc],styczeń!$B$11)</f>
        <v>0</v>
      </c>
      <c r="E2" s="2">
        <f ca="1">Tabela611131517192123252729[[#This Row],[Saldo początkowe]]+Tabela611131517192123252729[[#This Row],[Operacje]]</f>
        <v>0</v>
      </c>
      <c r="G2" t="s">
        <v>1</v>
      </c>
      <c r="H2" s="2">
        <f>SUMIFS(Tabela8[Kwota],Tabela8[Kategoria],Tabela912141618202224262830[[#This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-500</v>
      </c>
      <c r="D3" s="2">
        <f>SUMIFS(Tabela8[Kwota],Tabela8[Bank],Tabela611131517192123252729[[#This Row],[Bank]],Tabela8[Produkt],Tabela611131517192123252729[[#This Row],[Produkt]],Tabela8[Miesiąc],styczeń!$B$11)</f>
        <v>-50</v>
      </c>
      <c r="E3" s="2">
        <f ca="1">Tabela611131517192123252729[[#This Row],[Saldo początkowe]]+Tabela611131517192123252729[[#This Row],[Operacje]]</f>
        <v>-550</v>
      </c>
      <c r="G3" t="s">
        <v>2</v>
      </c>
      <c r="H3" s="2">
        <f>SUMIFS(Tabela8[Kwota],Tabela8[Kategoria],Tabela912141618202224262830[[#This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SUMIFS(Tabela8[Kwota],Tabela8[Bank],Tabela611131517192123252729[[#This Row],[Bank]],Tabela8[Produkt],Tabela611131517192123252729[[#This Row],[Produkt]],Tabela8[Miesiąc],styczeń!$B$11)</f>
        <v>0</v>
      </c>
      <c r="E4" s="2">
        <f ca="1">Tabela611131517192123252729[[#This Row],[Saldo początkowe]]+Tabela611131517192123252729[[#This Row],[Operacje]]</f>
        <v>0</v>
      </c>
      <c r="G4" t="s">
        <v>3</v>
      </c>
      <c r="H4" s="2">
        <f>SUMIFS(Tabela8[Kwota],Tabela8[Kategoria],Tabela912141618202224262830[[#This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SUMIFS(Tabela8[Kwota],Tabela8[Bank],Tabela611131517192123252729[[#This Row],[Bank]],Tabela8[Produkt],Tabela611131517192123252729[[#This Row],[Produkt]],Tabela8[Miesiąc],styczeń!$B$11)</f>
        <v>0</v>
      </c>
      <c r="E5" s="2">
        <f ca="1">Tabela611131517192123252729[[#This Row],[Saldo początkowe]]+Tabela611131517192123252729[[#This Row],[Operacje]]</f>
        <v>0</v>
      </c>
      <c r="G5" t="s">
        <v>4</v>
      </c>
      <c r="H5" s="2">
        <f>SUMIFS(Tabela8[Kwota],Tabela8[Kategoria],Tabela912141618202224262830[[#This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SUMIFS(Tabela8[Kwota],Tabela8[Bank],Tabela611131517192123252729[[#This Row],[Bank]],Tabela8[Produkt],Tabela611131517192123252729[[#This Row],[Produkt]],Tabela8[Miesiąc],styczeń!$B$11)</f>
        <v>0</v>
      </c>
      <c r="E6" s="2">
        <f ca="1">Tabela611131517192123252729[[#This Row],[Saldo początkowe]]+Tabela611131517192123252729[[#This Row],[Operacje]]</f>
        <v>0</v>
      </c>
      <c r="G6" t="s">
        <v>5</v>
      </c>
      <c r="H6" s="2">
        <f>SUMIFS(Tabela8[Kwota],Tabela8[Kategoria],Tabela912141618202224262830[[#This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SUMIFS(Tabela8[Kwota],Tabela8[Bank],Tabela611131517192123252729[[#This Row],[Bank]],Tabela8[Produkt],Tabela611131517192123252729[[#This Row],[Produkt]],Tabela8[Miesiąc],styczeń!$B$11)</f>
        <v>0</v>
      </c>
      <c r="E7" s="2">
        <f ca="1">Tabela611131517192123252729[[#This Row],[Saldo początkowe]]+Tabela611131517192123252729[[#This Row],[Operacje]]</f>
        <v>0</v>
      </c>
      <c r="G7" t="s">
        <v>6</v>
      </c>
      <c r="H7" s="2">
        <f>SUMIFS(Tabela8[Kwota],Tabela8[Kategoria],Tabela912141618202224262830[[#This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SUMIFS(Tabela8[Kwota],Tabela8[Bank],Tabela611131517192123252729[[#This Row],[Bank]],Tabela8[Produkt],Tabela611131517192123252729[[#This Row],[Produkt]],Tabela8[Miesiąc],styczeń!$B$11)</f>
        <v>0</v>
      </c>
      <c r="E8" s="2">
        <f ca="1">Tabela611131517192123252729[[#This Row],[Saldo początkowe]]+Tabela611131517192123252729[[#This Row],[Operacje]]</f>
        <v>0</v>
      </c>
      <c r="G8" t="s">
        <v>8</v>
      </c>
      <c r="H8" s="2">
        <f>SUMIFS(Tabela8[Kwota],Tabela8[Kategoria],Tabela912141618202224262830[[#This Row],[Kategoria]],Tabela8[Miesiąc],styczeń!$B$11)</f>
        <v>0</v>
      </c>
    </row>
    <row r="9" spans="1:8" x14ac:dyDescent="0.25">
      <c r="A9" t="s">
        <v>37</v>
      </c>
      <c r="C9" s="2">
        <f ca="1">SUBTOTAL(109,Tabela611131517192123252729[Saldo początkowe])</f>
        <v>-500</v>
      </c>
      <c r="D9" s="2">
        <f>SUBTOTAL(109,Tabela611131517192123252729[Operacje])</f>
        <v>-50</v>
      </c>
      <c r="E9" s="2">
        <f ca="1">SUBTOTAL(109,Tabela611131517192123252729[Saldo Końcowe])</f>
        <v>-550</v>
      </c>
      <c r="G9" t="s">
        <v>9</v>
      </c>
      <c r="H9" s="2">
        <f>SUMIFS(Tabela8[Kwota],Tabela8[Kategoria],Tabela912141618202224262830[[#This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SUMIFS(Tabela8[Kwota],Tabela8[Kategoria],Tabela912141618202224262830[[#This Row],[Kategoria]],Tabela8[Miesiąc],styczeń!$B$11)</f>
        <v>0</v>
      </c>
    </row>
    <row r="11" spans="1:8" x14ac:dyDescent="0.25">
      <c r="A11" t="s">
        <v>28</v>
      </c>
      <c r="B11">
        <v>11</v>
      </c>
      <c r="C11" t="str">
        <f>TEXT(DATE(2025,B11,1),"mmmm")</f>
        <v>listopad</v>
      </c>
      <c r="G11" t="s">
        <v>11</v>
      </c>
      <c r="H11" s="2">
        <f>SUMIFS(Tabela8[Kwota],Tabela8[Kategoria],Tabela912141618202224262830[[#This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SUMIFS(Tabela8[Kwota],Tabela8[Kategoria],Tabela912141618202224262830[[#This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SUMIFS(Tabela8[Kwota],Tabela8[Kategoria],Tabela912141618202224262830[[#This Row],[Kategoria]],Tabela8[Miesiąc],styczeń!$B$11)</f>
        <v>0</v>
      </c>
    </row>
    <row r="14" spans="1:8" x14ac:dyDescent="0.25">
      <c r="A14" t="s">
        <v>16</v>
      </c>
      <c r="B14" s="2">
        <f>SUMIFS(Tabela8[Kwota],Tabela8[Typ],listopad!$A14,Tabela8[Miesiąc],listopad!$B$11)</f>
        <v>0</v>
      </c>
      <c r="G14" t="s">
        <v>13</v>
      </c>
      <c r="H14" s="2">
        <f>SUMIFS(Tabela8[Kwota],Tabela8[Kategoria],Tabela912141618202224262830[[#This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SUMIFS(Tabela8[Kwota],Tabela8[Kategoria],Tabela912141618202224262830[[#This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SUMIFS(Tabela8[Kwota],Tabela8[Kategoria],Tabela912141618202224262830[[#This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687B-7371-40BD-9341-2636035ED699}">
  <dimension ref="A1:H16"/>
  <sheetViews>
    <sheetView tabSelected="1" workbookViewId="0">
      <selection activeCell="B12" sqref="B12"/>
    </sheetView>
  </sheetViews>
  <sheetFormatPr defaultRowHeight="15" x14ac:dyDescent="0.25"/>
  <cols>
    <col min="1" max="1" width="11.85546875" customWidth="1"/>
    <col min="2" max="2" width="10.140625" customWidth="1"/>
    <col min="3" max="3" width="19" customWidth="1"/>
    <col min="4" max="4" width="11.140625" style="2" customWidth="1"/>
    <col min="5" max="5" width="16.5703125" customWidth="1"/>
    <col min="7" max="7" width="19.28515625" customWidth="1"/>
  </cols>
  <sheetData>
    <row r="1" spans="1:8" x14ac:dyDescent="0.25">
      <c r="A1" t="s">
        <v>18</v>
      </c>
      <c r="B1" t="s">
        <v>26</v>
      </c>
      <c r="C1" t="s">
        <v>34</v>
      </c>
      <c r="D1" s="2" t="s">
        <v>35</v>
      </c>
      <c r="E1" t="s">
        <v>36</v>
      </c>
      <c r="G1" t="s">
        <v>0</v>
      </c>
      <c r="H1" t="s">
        <v>37</v>
      </c>
    </row>
    <row r="2" spans="1:8" x14ac:dyDescent="0.25">
      <c r="A2" t="s">
        <v>20</v>
      </c>
      <c r="B2" t="s">
        <v>19</v>
      </c>
      <c r="C2" s="2" cm="1">
        <f t="array" aca="1" ref="C2" ca="1">INDIRECT(TEXT(DATE(2025,$B$11-1,1),"mmmm")&amp;"!E"&amp;ROW())</f>
        <v>0</v>
      </c>
      <c r="D2" s="2">
        <f>SUMIFS(Tabela8[Kwota],Tabela8[Bank],Tabela61113151719212325272931[[#This Row],[Bank]],Tabela8[Produkt],Tabela61113151719212325272931[[#This Row],[Produkt]],Tabela8[Miesiąc],styczeń!$B$11)</f>
        <v>0</v>
      </c>
      <c r="E2" s="2">
        <f ca="1">Tabela61113151719212325272931[[#This Row],[Saldo początkowe]]+Tabela61113151719212325272931[[#This Row],[Operacje]]</f>
        <v>0</v>
      </c>
      <c r="G2" t="s">
        <v>1</v>
      </c>
      <c r="H2" s="2">
        <f>SUMIFS(Tabela8[Kwota],Tabela8[Kategoria],Tabela91214161820222426283032[[#This Row],[Kategoria]],Tabela8[Miesiąc],styczeń!$B$11)</f>
        <v>0</v>
      </c>
    </row>
    <row r="3" spans="1:8" x14ac:dyDescent="0.25">
      <c r="A3" t="s">
        <v>20</v>
      </c>
      <c r="B3" t="s">
        <v>22</v>
      </c>
      <c r="C3" s="2" cm="1">
        <f t="array" aca="1" ref="C3" ca="1">INDIRECT(TEXT(DATE(2025,$B$11-1,1),"mmmm")&amp;"!E"&amp;ROW())</f>
        <v>-550</v>
      </c>
      <c r="D3" s="2">
        <f>SUMIFS(Tabela8[Kwota],Tabela8[Bank],Tabela61113151719212325272931[[#This Row],[Bank]],Tabela8[Produkt],Tabela61113151719212325272931[[#This Row],[Produkt]],Tabela8[Miesiąc],styczeń!$B$11)</f>
        <v>-50</v>
      </c>
      <c r="E3" s="2">
        <f ca="1">Tabela61113151719212325272931[[#This Row],[Saldo początkowe]]+Tabela61113151719212325272931[[#This Row],[Operacje]]</f>
        <v>-600</v>
      </c>
      <c r="G3" t="s">
        <v>2</v>
      </c>
      <c r="H3" s="2">
        <f>SUMIFS(Tabela8[Kwota],Tabela8[Kategoria],Tabela91214161820222426283032[[#This Row],[Kategoria]],Tabela8[Miesiąc],styczeń!$B$11)</f>
        <v>0</v>
      </c>
    </row>
    <row r="4" spans="1:8" x14ac:dyDescent="0.25">
      <c r="A4" t="s">
        <v>20</v>
      </c>
      <c r="B4" t="s">
        <v>23</v>
      </c>
      <c r="C4" s="2" cm="1">
        <f t="array" aca="1" ref="C4" ca="1">INDIRECT(TEXT(DATE(2025,$B$11-1,1),"mmmm")&amp;"!E"&amp;ROW())</f>
        <v>0</v>
      </c>
      <c r="D4" s="2">
        <f>SUMIFS(Tabela8[Kwota],Tabela8[Bank],Tabela61113151719212325272931[[#This Row],[Bank]],Tabela8[Produkt],Tabela61113151719212325272931[[#This Row],[Produkt]],Tabela8[Miesiąc],styczeń!$B$11)</f>
        <v>0</v>
      </c>
      <c r="E4" s="2">
        <f ca="1">Tabela61113151719212325272931[[#This Row],[Saldo początkowe]]+Tabela61113151719212325272931[[#This Row],[Operacje]]</f>
        <v>0</v>
      </c>
      <c r="G4" t="s">
        <v>3</v>
      </c>
      <c r="H4" s="2">
        <f>SUMIFS(Tabela8[Kwota],Tabela8[Kategoria],Tabela91214161820222426283032[[#This Row],[Kategoria]],Tabela8[Miesiąc],styczeń!$B$11)</f>
        <v>0</v>
      </c>
    </row>
    <row r="5" spans="1:8" x14ac:dyDescent="0.25">
      <c r="A5" t="s">
        <v>33</v>
      </c>
      <c r="B5" t="s">
        <v>19</v>
      </c>
      <c r="C5" s="2" cm="1">
        <f t="array" aca="1" ref="C5" ca="1">INDIRECT(TEXT(DATE(2025,$B$11-1,1),"mmmm")&amp;"!E"&amp;ROW())</f>
        <v>0</v>
      </c>
      <c r="D5" s="2">
        <f>SUMIFS(Tabela8[Kwota],Tabela8[Bank],Tabela61113151719212325272931[[#This Row],[Bank]],Tabela8[Produkt],Tabela61113151719212325272931[[#This Row],[Produkt]],Tabela8[Miesiąc],styczeń!$B$11)</f>
        <v>0</v>
      </c>
      <c r="E5" s="2">
        <f ca="1">Tabela61113151719212325272931[[#This Row],[Saldo początkowe]]+Tabela61113151719212325272931[[#This Row],[Operacje]]</f>
        <v>0</v>
      </c>
      <c r="G5" t="s">
        <v>4</v>
      </c>
      <c r="H5" s="2">
        <f>SUMIFS(Tabela8[Kwota],Tabela8[Kategoria],Tabela91214161820222426283032[[#This Row],[Kategoria]],Tabela8[Miesiąc],styczeń!$B$11)</f>
        <v>0</v>
      </c>
    </row>
    <row r="6" spans="1:8" x14ac:dyDescent="0.25">
      <c r="A6" t="s">
        <v>33</v>
      </c>
      <c r="B6" t="s">
        <v>24</v>
      </c>
      <c r="C6" s="2" cm="1">
        <f t="array" aca="1" ref="C6" ca="1">INDIRECT(TEXT(DATE(2025,$B$11-1,1),"mmmm")&amp;"!E"&amp;ROW())</f>
        <v>0</v>
      </c>
      <c r="D6" s="2">
        <f>SUMIFS(Tabela8[Kwota],Tabela8[Bank],Tabela61113151719212325272931[[#This Row],[Bank]],Tabela8[Produkt],Tabela61113151719212325272931[[#This Row],[Produkt]],Tabela8[Miesiąc],styczeń!$B$11)</f>
        <v>0</v>
      </c>
      <c r="E6" s="2">
        <f ca="1">Tabela61113151719212325272931[[#This Row],[Saldo początkowe]]+Tabela61113151719212325272931[[#This Row],[Operacje]]</f>
        <v>0</v>
      </c>
      <c r="G6" t="s">
        <v>5</v>
      </c>
      <c r="H6" s="2">
        <f>SUMIFS(Tabela8[Kwota],Tabela8[Kategoria],Tabela91214161820222426283032[[#This Row],[Kategoria]],Tabela8[Miesiąc],styczeń!$B$11)</f>
        <v>0</v>
      </c>
    </row>
    <row r="7" spans="1:8" x14ac:dyDescent="0.25">
      <c r="A7" t="s">
        <v>30</v>
      </c>
      <c r="B7" t="s">
        <v>31</v>
      </c>
      <c r="C7" s="2" cm="1">
        <f t="array" aca="1" ref="C7" ca="1">INDIRECT(TEXT(DATE(2025,$B$11-1,1),"mmmm")&amp;"!E"&amp;ROW())</f>
        <v>0</v>
      </c>
      <c r="D7" s="2">
        <f>SUMIFS(Tabela8[Kwota],Tabela8[Bank],Tabela61113151719212325272931[[#This Row],[Bank]],Tabela8[Produkt],Tabela61113151719212325272931[[#This Row],[Produkt]],Tabela8[Miesiąc],styczeń!$B$11)</f>
        <v>0</v>
      </c>
      <c r="E7" s="2">
        <f ca="1">Tabela61113151719212325272931[[#This Row],[Saldo początkowe]]+Tabela61113151719212325272931[[#This Row],[Operacje]]</f>
        <v>0</v>
      </c>
      <c r="G7" t="s">
        <v>6</v>
      </c>
      <c r="H7" s="2">
        <f>SUMIFS(Tabela8[Kwota],Tabela8[Kategoria],Tabela91214161820222426283032[[#This Row],[Kategoria]],Tabela8[Miesiąc],styczeń!$B$11)</f>
        <v>-50</v>
      </c>
    </row>
    <row r="8" spans="1:8" x14ac:dyDescent="0.25">
      <c r="A8" t="s">
        <v>30</v>
      </c>
      <c r="B8" t="s">
        <v>32</v>
      </c>
      <c r="C8" s="2" cm="1">
        <f t="array" aca="1" ref="C8" ca="1">INDIRECT(TEXT(DATE(2025,$B$11-1,1),"mmmm")&amp;"!E"&amp;ROW())</f>
        <v>0</v>
      </c>
      <c r="D8" s="2">
        <f>SUMIFS(Tabela8[Kwota],Tabela8[Bank],Tabela61113151719212325272931[[#This Row],[Bank]],Tabela8[Produkt],Tabela61113151719212325272931[[#This Row],[Produkt]],Tabela8[Miesiąc],styczeń!$B$11)</f>
        <v>0</v>
      </c>
      <c r="E8" s="2">
        <f ca="1">Tabela61113151719212325272931[[#This Row],[Saldo początkowe]]+Tabela61113151719212325272931[[#This Row],[Operacje]]</f>
        <v>0</v>
      </c>
      <c r="G8" t="s">
        <v>8</v>
      </c>
      <c r="H8" s="2">
        <f>SUMIFS(Tabela8[Kwota],Tabela8[Kategoria],Tabela91214161820222426283032[[#This Row],[Kategoria]],Tabela8[Miesiąc],styczeń!$B$11)</f>
        <v>0</v>
      </c>
    </row>
    <row r="9" spans="1:8" x14ac:dyDescent="0.25">
      <c r="A9" t="s">
        <v>37</v>
      </c>
      <c r="C9" s="2">
        <f ca="1">SUBTOTAL(109,Tabela61113151719212325272931[Saldo początkowe])</f>
        <v>-550</v>
      </c>
      <c r="D9" s="2">
        <f>SUBTOTAL(109,Tabela61113151719212325272931[Operacje])</f>
        <v>-50</v>
      </c>
      <c r="E9" s="2">
        <f ca="1">SUBTOTAL(109,Tabela61113151719212325272931[Saldo Końcowe])</f>
        <v>-600</v>
      </c>
      <c r="G9" t="s">
        <v>9</v>
      </c>
      <c r="H9" s="2">
        <f>SUMIFS(Tabela8[Kwota],Tabela8[Kategoria],Tabela91214161820222426283032[[#This Row],[Kategoria]],Tabela8[Miesiąc],styczeń!$B$11)</f>
        <v>0</v>
      </c>
    </row>
    <row r="10" spans="1:8" x14ac:dyDescent="0.25">
      <c r="G10" t="s">
        <v>10</v>
      </c>
      <c r="H10" s="2">
        <f>SUMIFS(Tabela8[Kwota],Tabela8[Kategoria],Tabela91214161820222426283032[[#This Row],[Kategoria]],Tabela8[Miesiąc],styczeń!$B$11)</f>
        <v>0</v>
      </c>
    </row>
    <row r="11" spans="1:8" x14ac:dyDescent="0.25">
      <c r="A11" t="s">
        <v>28</v>
      </c>
      <c r="B11">
        <v>12</v>
      </c>
      <c r="C11" t="str">
        <f>TEXT(DATE(2025,B11,1),"mmmm")</f>
        <v>grudzień</v>
      </c>
      <c r="G11" t="s">
        <v>11</v>
      </c>
      <c r="H11" s="2">
        <f>SUMIFS(Tabela8[Kwota],Tabela8[Kategoria],Tabela91214161820222426283032[[#This Row],[Kategoria]],Tabela8[Miesiąc],styczeń!$B$11)</f>
        <v>0</v>
      </c>
    </row>
    <row r="12" spans="1:8" x14ac:dyDescent="0.25">
      <c r="G12" t="s">
        <v>29</v>
      </c>
      <c r="H12" s="2">
        <f>SUMIFS(Tabela8[Kwota],Tabela8[Kategoria],Tabela91214161820222426283032[[#This Row],[Kategoria]],Tabela8[Miesiąc],styczeń!$B$11)</f>
        <v>0</v>
      </c>
    </row>
    <row r="13" spans="1:8" x14ac:dyDescent="0.25">
      <c r="A13" t="s">
        <v>17</v>
      </c>
      <c r="B13" s="2">
        <f>SUMIFS(Tabela8[Kwota],Tabela8[Kategoria],B14)</f>
        <v>0</v>
      </c>
      <c r="G13" t="s">
        <v>12</v>
      </c>
      <c r="H13" s="2">
        <f>SUMIFS(Tabela8[Kwota],Tabela8[Kategoria],Tabela91214161820222426283032[[#This Row],[Kategoria]],Tabela8[Miesiąc],styczeń!$B$11)</f>
        <v>0</v>
      </c>
    </row>
    <row r="14" spans="1:8" x14ac:dyDescent="0.25">
      <c r="A14" t="s">
        <v>16</v>
      </c>
      <c r="B14" s="2">
        <f>SUMIFS(Tabela8[Kwota],Tabela8[Typ],grudzień!$A14,Tabela8[Miesiąc],grudzień!$B$11)</f>
        <v>0</v>
      </c>
      <c r="G14" t="s">
        <v>13</v>
      </c>
      <c r="H14" s="2">
        <f>SUMIFS(Tabela8[Kwota],Tabela8[Kategoria],Tabela91214161820222426283032[[#This Row],[Kategoria]],Tabela8[Miesiąc],styczeń!$B$11)</f>
        <v>0</v>
      </c>
    </row>
    <row r="15" spans="1:8" x14ac:dyDescent="0.25">
      <c r="A15" t="s">
        <v>38</v>
      </c>
      <c r="B15" s="2">
        <f>B13+B14</f>
        <v>0</v>
      </c>
      <c r="G15" t="s">
        <v>14</v>
      </c>
      <c r="H15" s="2">
        <f>SUMIFS(Tabela8[Kwota],Tabela8[Kategoria],Tabela91214161820222426283032[[#This Row],[Kategoria]],Tabela8[Miesiąc],styczeń!$B$11)</f>
        <v>0</v>
      </c>
    </row>
    <row r="16" spans="1:8" x14ac:dyDescent="0.25">
      <c r="G16" t="s">
        <v>15</v>
      </c>
      <c r="H16" s="2">
        <f>SUMIFS(Tabela8[Kwota],Tabela8[Kategoria],Tabela91214161820222426283032[[#This Row],[Kategoria]],Tabela8[Miesiąc],styczeń!$B$11)</f>
        <v>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Kategorie</vt:lpstr>
      <vt:lpstr>Operacje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s-A121-16</dc:creator>
  <cp:lastModifiedBy>s-A121-20</cp:lastModifiedBy>
  <dcterms:created xsi:type="dcterms:W3CDTF">2024-11-20T14:16:55Z</dcterms:created>
  <dcterms:modified xsi:type="dcterms:W3CDTF">2024-12-04T15:34:30Z</dcterms:modified>
</cp:coreProperties>
</file>