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8D47765C-0DD7-4E6B-9884-57561F0FE5FA}" xr6:coauthVersionLast="47" xr6:coauthVersionMax="47" xr10:uidLastSave="{00000000-0000-0000-0000-000000000000}"/>
  <bookViews>
    <workbookView xWindow="-57720" yWindow="-120" windowWidth="29040" windowHeight="15840" xr2:uid="{D158A6C8-C41D-4336-A4FE-56E16315A778}"/>
  </bookViews>
  <sheets>
    <sheet name="Sheet1" sheetId="1" r:id="rId1"/>
  </sheets>
  <definedNames>
    <definedName name="age4.male">Sheet1!$M$2</definedName>
    <definedName name="age4.male.tyee">Sheet1!$N$2</definedName>
    <definedName name="age5.tyee">Sheet1!$O$2</definedName>
    <definedName name="age6.tyee">Sheet1!$P$2</definedName>
    <definedName name="egg.to.fry">Sheet1!$J$2</definedName>
    <definedName name="fecundity">Sheet1!$I$2</definedName>
    <definedName name="fry.to.smolt">Sheet1!$K$2</definedName>
    <definedName name="marine.surv">Sheet1!$L$2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" i="1" l="1"/>
  <c r="T26" i="1"/>
  <c r="T27" i="1"/>
  <c r="T28" i="1"/>
  <c r="T29" i="1"/>
  <c r="T30" i="1"/>
  <c r="I26" i="1" a="1"/>
  <c r="I26" i="1" s="1"/>
  <c r="J26" i="1"/>
  <c r="M26" i="1"/>
  <c r="P26" i="1"/>
  <c r="I27" i="1" a="1"/>
  <c r="I27" i="1" s="1"/>
  <c r="J27" i="1"/>
  <c r="M27" i="1"/>
  <c r="P27" i="1"/>
  <c r="I28" i="1" a="1"/>
  <c r="I28" i="1"/>
  <c r="N28" i="1" s="1"/>
  <c r="O28" i="1" s="1"/>
  <c r="J28" i="1"/>
  <c r="K28" i="1"/>
  <c r="L28" i="1"/>
  <c r="M28" i="1"/>
  <c r="P28" i="1"/>
  <c r="I29" i="1" a="1"/>
  <c r="I29" i="1" s="1"/>
  <c r="J29" i="1"/>
  <c r="M29" i="1"/>
  <c r="P29" i="1"/>
  <c r="I30" i="1" a="1"/>
  <c r="I30" i="1"/>
  <c r="Q30" i="1" s="1"/>
  <c r="J30" i="1"/>
  <c r="M30" i="1"/>
  <c r="N30" i="1"/>
  <c r="O30" i="1"/>
  <c r="P30" i="1"/>
  <c r="I31" i="1" a="1"/>
  <c r="I31" i="1"/>
  <c r="J31" i="1"/>
  <c r="K31" i="1"/>
  <c r="L31" i="1" s="1"/>
  <c r="M31" i="1"/>
  <c r="N31" i="1"/>
  <c r="O31" i="1"/>
  <c r="P31" i="1"/>
  <c r="Q31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5" i="1"/>
  <c r="I13" i="1" a="1"/>
  <c r="I13" i="1" s="1"/>
  <c r="Q13" i="1" s="1"/>
  <c r="I14" i="1" a="1"/>
  <c r="I14" i="1" s="1"/>
  <c r="N14" i="1" s="1"/>
  <c r="O14" i="1" s="1"/>
  <c r="I15" i="1" a="1"/>
  <c r="I15" i="1" s="1"/>
  <c r="K15" i="1" s="1"/>
  <c r="L15" i="1" s="1"/>
  <c r="I16" i="1" a="1"/>
  <c r="I16" i="1" s="1"/>
  <c r="Q16" i="1" s="1"/>
  <c r="I24" i="1" a="1"/>
  <c r="I24" i="1" s="1"/>
  <c r="K24" i="1" s="1"/>
  <c r="L24" i="1" s="1"/>
  <c r="J5" i="1"/>
  <c r="I6" i="1" a="1"/>
  <c r="I6" i="1" s="1"/>
  <c r="Q6" i="1" s="1"/>
  <c r="I7" i="1" a="1"/>
  <c r="I7" i="1" s="1"/>
  <c r="Q7" i="1" s="1"/>
  <c r="I8" i="1" a="1"/>
  <c r="I8" i="1" s="1"/>
  <c r="Q8" i="1" s="1"/>
  <c r="I9" i="1" a="1"/>
  <c r="I9" i="1" s="1"/>
  <c r="Q9" i="1" s="1"/>
  <c r="I10" i="1" a="1"/>
  <c r="I10" i="1" s="1"/>
  <c r="Q10" i="1" s="1"/>
  <c r="I11" i="1" a="1"/>
  <c r="I11" i="1" s="1"/>
  <c r="N11" i="1" s="1"/>
  <c r="O11" i="1" s="1"/>
  <c r="I17" i="1" a="1"/>
  <c r="I17" i="1" s="1"/>
  <c r="N17" i="1" s="1"/>
  <c r="O17" i="1" s="1"/>
  <c r="I18" i="1" a="1"/>
  <c r="I18" i="1" s="1"/>
  <c r="N18" i="1" s="1"/>
  <c r="O18" i="1" s="1"/>
  <c r="I19" i="1" a="1"/>
  <c r="I19" i="1" s="1"/>
  <c r="N19" i="1" s="1"/>
  <c r="O19" i="1" s="1"/>
  <c r="I20" i="1" a="1"/>
  <c r="I20" i="1" s="1"/>
  <c r="N20" i="1" s="1"/>
  <c r="O20" i="1" s="1"/>
  <c r="I21" i="1" a="1"/>
  <c r="I21" i="1" s="1"/>
  <c r="N21" i="1" s="1"/>
  <c r="O21" i="1" s="1"/>
  <c r="I22" i="1" a="1"/>
  <c r="I22" i="1" s="1"/>
  <c r="Q22" i="1" s="1"/>
  <c r="I23" i="1" a="1"/>
  <c r="I23" i="1" s="1"/>
  <c r="N23" i="1" s="1"/>
  <c r="O23" i="1" s="1"/>
  <c r="I25" i="1" a="1"/>
  <c r="I25" i="1" s="1"/>
  <c r="Q25" i="1" s="1"/>
  <c r="I5" i="1" a="1"/>
  <c r="I5" i="1" s="1"/>
  <c r="Q5" i="1" s="1"/>
  <c r="M5" i="1"/>
  <c r="J6" i="1"/>
  <c r="M6" i="1"/>
  <c r="J7" i="1"/>
  <c r="M7" i="1"/>
  <c r="J8" i="1"/>
  <c r="M8" i="1"/>
  <c r="J9" i="1"/>
  <c r="M9" i="1"/>
  <c r="J10" i="1"/>
  <c r="M10" i="1"/>
  <c r="I12" i="1" a="1"/>
  <c r="I12" i="1" s="1"/>
  <c r="Q12" i="1" s="1"/>
  <c r="J12" i="1"/>
  <c r="M12" i="1"/>
  <c r="J13" i="1"/>
  <c r="T19" i="1" s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M11" i="1"/>
  <c r="J11" i="1"/>
  <c r="K27" i="1" l="1"/>
  <c r="L27" i="1" s="1"/>
  <c r="N27" i="1"/>
  <c r="O27" i="1" s="1"/>
  <c r="Q27" i="1"/>
  <c r="K26" i="1"/>
  <c r="L26" i="1" s="1"/>
  <c r="Q26" i="1"/>
  <c r="N26" i="1"/>
  <c r="O26" i="1" s="1"/>
  <c r="Q29" i="1"/>
  <c r="N29" i="1"/>
  <c r="O29" i="1" s="1"/>
  <c r="K29" i="1"/>
  <c r="L29" i="1" s="1"/>
  <c r="K30" i="1"/>
  <c r="L30" i="1" s="1"/>
  <c r="Q28" i="1"/>
  <c r="Q20" i="1"/>
  <c r="Q21" i="1"/>
  <c r="Q18" i="1"/>
  <c r="Q19" i="1"/>
  <c r="Q15" i="1"/>
  <c r="Q14" i="1"/>
  <c r="Q24" i="1"/>
  <c r="Q23" i="1"/>
  <c r="Q11" i="1"/>
  <c r="Q17" i="1"/>
  <c r="N9" i="1"/>
  <c r="O9" i="1" s="1"/>
  <c r="K9" i="1"/>
  <c r="L9" i="1" s="1"/>
  <c r="T13" i="1" s="1"/>
  <c r="N10" i="1"/>
  <c r="O10" i="1" s="1"/>
  <c r="K10" i="1"/>
  <c r="L10" i="1" s="1"/>
  <c r="T14" i="1" s="1"/>
  <c r="K8" i="1"/>
  <c r="L8" i="1" s="1"/>
  <c r="T12" i="1" s="1"/>
  <c r="N8" i="1"/>
  <c r="O8" i="1" s="1"/>
  <c r="N7" i="1"/>
  <c r="O7" i="1" s="1"/>
  <c r="K7" i="1"/>
  <c r="L7" i="1" s="1"/>
  <c r="T11" i="1" s="1"/>
  <c r="N6" i="1"/>
  <c r="O6" i="1" s="1"/>
  <c r="K6" i="1"/>
  <c r="L6" i="1" s="1"/>
  <c r="T10" i="1" s="1"/>
  <c r="K5" i="1"/>
  <c r="L5" i="1" s="1"/>
  <c r="N5" i="1"/>
  <c r="O5" i="1" s="1"/>
  <c r="K23" i="1"/>
  <c r="L23" i="1" s="1"/>
  <c r="K25" i="1"/>
  <c r="L25" i="1" s="1"/>
  <c r="N25" i="1"/>
  <c r="O25" i="1" s="1"/>
  <c r="K13" i="1"/>
  <c r="L13" i="1" s="1"/>
  <c r="N13" i="1"/>
  <c r="O13" i="1" s="1"/>
  <c r="N22" i="1"/>
  <c r="O22" i="1" s="1"/>
  <c r="K22" i="1"/>
  <c r="L22" i="1" s="1"/>
  <c r="K12" i="1"/>
  <c r="L12" i="1" s="1"/>
  <c r="T16" i="1" s="1"/>
  <c r="N12" i="1"/>
  <c r="O12" i="1" s="1"/>
  <c r="K21" i="1"/>
  <c r="L21" i="1" s="1"/>
  <c r="T25" i="1" s="1"/>
  <c r="N24" i="1"/>
  <c r="O24" i="1" s="1"/>
  <c r="N16" i="1"/>
  <c r="O16" i="1" s="1"/>
  <c r="K16" i="1"/>
  <c r="L16" i="1" s="1"/>
  <c r="N15" i="1"/>
  <c r="O15" i="1" s="1"/>
  <c r="K17" i="1"/>
  <c r="L17" i="1" s="1"/>
  <c r="K20" i="1"/>
  <c r="L20" i="1" s="1"/>
  <c r="T24" i="1" s="1"/>
  <c r="K19" i="1"/>
  <c r="L19" i="1" s="1"/>
  <c r="T23" i="1" s="1"/>
  <c r="K18" i="1"/>
  <c r="L18" i="1" s="1"/>
  <c r="T22" i="1" s="1"/>
  <c r="K14" i="1"/>
  <c r="L14" i="1" s="1"/>
  <c r="K11" i="1"/>
  <c r="L11" i="1" s="1"/>
  <c r="T15" i="1" s="1"/>
  <c r="T17" i="1" l="1"/>
  <c r="T21" i="1"/>
  <c r="T20" i="1"/>
  <c r="T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<sst xmlns="http://schemas.openxmlformats.org/spreadsheetml/2006/main" count="53" uniqueCount="24">
  <si>
    <t>Year</t>
  </si>
  <si>
    <t>Escapement</t>
  </si>
  <si>
    <t>Predicted Returns</t>
  </si>
  <si>
    <t>fecundity</t>
  </si>
  <si>
    <t>egg.to.fry</t>
  </si>
  <si>
    <t>marine.surv</t>
  </si>
  <si>
    <t>Age4_returnYear</t>
  </si>
  <si>
    <t>Age5_returnYear</t>
  </si>
  <si>
    <t>Age4returns</t>
  </si>
  <si>
    <t>Age5returns</t>
  </si>
  <si>
    <t>fry.to.smolt</t>
  </si>
  <si>
    <t>Age4MaleTyee</t>
  </si>
  <si>
    <t>age4.male</t>
  </si>
  <si>
    <t>age4.male.tyee</t>
  </si>
  <si>
    <t>age5.tyee</t>
  </si>
  <si>
    <t>Age5.Tyee</t>
  </si>
  <si>
    <t>Total Tyee</t>
  </si>
  <si>
    <t>n/a</t>
  </si>
  <si>
    <t>,</t>
  </si>
  <si>
    <t>Age6.Tyee</t>
  </si>
  <si>
    <t>age6.tyee</t>
  </si>
  <si>
    <t>Age6_returnYear</t>
  </si>
  <si>
    <t>real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</si>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</sst>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517B-1EB5-4B75-BF80-47B32507EA9D}">
  <dimension ref="F1:X31"/>
  <sheetViews>
    <sheetView tabSelected="1" topLeftCell="B1" workbookViewId="0">
      <selection activeCell="T32" sqref="T32"/>
    </sheetView>
  </sheetViews>
  <sheetFormatPr defaultRowHeight="14.4" x14ac:dyDescent="0.3"/>
  <cols>
    <col min="8" max="8" width="11.33203125" bestFit="1" customWidth="1"/>
    <col min="9" max="9" width="16.5546875" bestFit="1" customWidth="1"/>
    <col min="10" max="10" width="15.5546875" bestFit="1" customWidth="1"/>
    <col min="11" max="11" width="11.5546875" bestFit="1" customWidth="1"/>
    <col min="12" max="12" width="13.88671875" bestFit="1" customWidth="1"/>
    <col min="13" max="14" width="15.5546875" bestFit="1" customWidth="1"/>
    <col min="15" max="15" width="11.5546875" bestFit="1" customWidth="1"/>
    <col min="16" max="19" width="11.5546875" customWidth="1"/>
    <col min="20" max="20" width="12.5546875" bestFit="1" customWidth="1"/>
  </cols>
  <sheetData>
    <row r="1" spans="6:24" x14ac:dyDescent="0.3">
      <c r="I1" t="s">
        <v>3</v>
      </c>
      <c r="J1" t="s">
        <v>4</v>
      </c>
      <c r="K1" t="s">
        <v>10</v>
      </c>
      <c r="L1" t="s">
        <v>5</v>
      </c>
      <c r="M1" t="s">
        <v>12</v>
      </c>
      <c r="N1" t="s">
        <v>13</v>
      </c>
      <c r="O1" t="s">
        <v>14</v>
      </c>
      <c r="P1" t="s">
        <v>20</v>
      </c>
    </row>
    <row r="2" spans="6:24" x14ac:dyDescent="0.3">
      <c r="I2">
        <v>4500</v>
      </c>
      <c r="J2">
        <v>0.4</v>
      </c>
      <c r="K2">
        <v>0.1</v>
      </c>
      <c r="L2">
        <v>0.01</v>
      </c>
      <c r="M2">
        <v>0.4</v>
      </c>
      <c r="N2">
        <v>0.1</v>
      </c>
      <c r="O2">
        <v>0.15</v>
      </c>
      <c r="P2">
        <v>1.2999999999999999E-2</v>
      </c>
    </row>
    <row r="4" spans="6:24" x14ac:dyDescent="0.3">
      <c r="G4" t="s">
        <v>0</v>
      </c>
      <c r="H4" t="s">
        <v>1</v>
      </c>
      <c r="I4" t="s">
        <v>2</v>
      </c>
      <c r="J4" t="s">
        <v>6</v>
      </c>
      <c r="K4" t="s">
        <v>8</v>
      </c>
      <c r="L4" t="s">
        <v>11</v>
      </c>
      <c r="M4" t="s">
        <v>7</v>
      </c>
      <c r="N4" t="s">
        <v>9</v>
      </c>
      <c r="O4" t="s">
        <v>15</v>
      </c>
      <c r="P4" t="s">
        <v>21</v>
      </c>
      <c r="Q4" t="s">
        <v>19</v>
      </c>
      <c r="T4" t="s">
        <v>16</v>
      </c>
    </row>
    <row r="5" spans="6:24" x14ac:dyDescent="0.3">
      <c r="F5" t="s">
        <v>23</v>
      </c>
      <c r="G5">
        <v>1995</v>
      </c>
      <c r="H5">
        <v>1133</v>
      </c>
      <c r="I5" cm="1">
        <f t="array" ref="I5">(H5*0.5)*fecundity*egg.to.fry*fry.to.smolt*marine.surv</f>
        <v>1019.7</v>
      </c>
      <c r="J5">
        <f>G5+4</f>
        <v>1999</v>
      </c>
      <c r="K5" s="1">
        <f t="shared" ref="K5:K10" si="0">0.447*I5</f>
        <v>455.80590000000001</v>
      </c>
      <c r="L5" s="1">
        <f t="shared" ref="L5:L31" si="1">K5*age4.male*age4.male.tyee</f>
        <v>18.232236</v>
      </c>
      <c r="M5">
        <f t="shared" ref="M5:M10" si="2">G5+5</f>
        <v>2000</v>
      </c>
      <c r="N5" s="1">
        <f t="shared" ref="N5:N10" si="3">0.461*I5</f>
        <v>470.08170000000007</v>
      </c>
      <c r="O5" s="1">
        <f t="shared" ref="O5:O31" si="4">N5*age5.tyee</f>
        <v>70.51225500000001</v>
      </c>
      <c r="P5" s="1">
        <f>G5+6</f>
        <v>2001</v>
      </c>
      <c r="Q5" s="1">
        <f>I5*age6.tyee</f>
        <v>13.2561</v>
      </c>
      <c r="R5" s="1"/>
      <c r="S5" s="1"/>
      <c r="T5" s="3" t="s">
        <v>17</v>
      </c>
    </row>
    <row r="6" spans="6:24" x14ac:dyDescent="0.3">
      <c r="F6" t="s">
        <v>23</v>
      </c>
      <c r="G6">
        <v>1996</v>
      </c>
      <c r="H6">
        <v>1484</v>
      </c>
      <c r="I6" cm="1">
        <f t="array" ref="I6">(H6*0.5)*fecundity*egg.to.fry*fry.to.smolt*marine.surv</f>
        <v>1335.6000000000001</v>
      </c>
      <c r="J6">
        <f t="shared" ref="J6:J10" si="5">G6+4</f>
        <v>2000</v>
      </c>
      <c r="K6" s="1">
        <f t="shared" si="0"/>
        <v>597.0132000000001</v>
      </c>
      <c r="L6" s="1">
        <f t="shared" si="1"/>
        <v>23.880528000000005</v>
      </c>
      <c r="M6">
        <f t="shared" si="2"/>
        <v>2001</v>
      </c>
      <c r="N6" s="1">
        <f t="shared" si="3"/>
        <v>615.71160000000009</v>
      </c>
      <c r="O6" s="1">
        <f t="shared" si="4"/>
        <v>92.356740000000016</v>
      </c>
      <c r="P6" s="1">
        <f t="shared" ref="P6:P25" si="6">G6+6</f>
        <v>2002</v>
      </c>
      <c r="Q6" s="1">
        <f>I6*age6.tyee</f>
        <v>17.3628</v>
      </c>
      <c r="R6" s="1"/>
      <c r="S6" s="1"/>
      <c r="T6" s="3" t="s">
        <v>17</v>
      </c>
    </row>
    <row r="7" spans="6:24" x14ac:dyDescent="0.3">
      <c r="F7" t="s">
        <v>23</v>
      </c>
      <c r="G7">
        <v>1997</v>
      </c>
      <c r="H7">
        <v>1326</v>
      </c>
      <c r="I7" cm="1">
        <f t="array" ref="I7">(H7*0.5)*fecundity*egg.to.fry*fry.to.smolt*marine.surv</f>
        <v>1193.4000000000001</v>
      </c>
      <c r="J7">
        <f t="shared" si="5"/>
        <v>2001</v>
      </c>
      <c r="K7" s="1">
        <f t="shared" si="0"/>
        <v>533.4498000000001</v>
      </c>
      <c r="L7" s="1">
        <f t="shared" si="1"/>
        <v>21.337992000000007</v>
      </c>
      <c r="M7">
        <f t="shared" si="2"/>
        <v>2002</v>
      </c>
      <c r="N7" s="1">
        <f t="shared" si="3"/>
        <v>550.15740000000005</v>
      </c>
      <c r="O7" s="1">
        <f t="shared" si="4"/>
        <v>82.523610000000005</v>
      </c>
      <c r="P7" s="1">
        <f t="shared" si="6"/>
        <v>2003</v>
      </c>
      <c r="Q7" s="1">
        <f>I7*age6.tyee</f>
        <v>15.514200000000001</v>
      </c>
      <c r="R7" s="1"/>
      <c r="S7" s="1"/>
      <c r="T7" s="3" t="s">
        <v>17</v>
      </c>
    </row>
    <row r="8" spans="6:24" x14ac:dyDescent="0.3">
      <c r="F8" t="s">
        <v>23</v>
      </c>
      <c r="G8">
        <v>1998</v>
      </c>
      <c r="H8">
        <v>1595</v>
      </c>
      <c r="I8" cm="1">
        <f t="array" ref="I8">(H8*0.5)*fecundity*egg.to.fry*fry.to.smolt*marine.surv</f>
        <v>1435.5</v>
      </c>
      <c r="J8">
        <f t="shared" si="5"/>
        <v>2002</v>
      </c>
      <c r="K8" s="1">
        <f t="shared" si="0"/>
        <v>641.66849999999999</v>
      </c>
      <c r="L8" s="1">
        <f t="shared" si="1"/>
        <v>25.666740000000001</v>
      </c>
      <c r="M8">
        <f t="shared" si="2"/>
        <v>2003</v>
      </c>
      <c r="N8" s="1">
        <f t="shared" si="3"/>
        <v>661.76549999999997</v>
      </c>
      <c r="O8" s="1">
        <f t="shared" si="4"/>
        <v>99.264824999999988</v>
      </c>
      <c r="P8" s="1">
        <f t="shared" si="6"/>
        <v>2004</v>
      </c>
      <c r="Q8" s="1">
        <f>I8*age6.tyee</f>
        <v>18.6615</v>
      </c>
      <c r="R8" s="1"/>
      <c r="S8" s="1"/>
      <c r="T8" s="3" t="s">
        <v>17</v>
      </c>
    </row>
    <row r="9" spans="6:24" x14ac:dyDescent="0.3">
      <c r="F9" t="s">
        <v>23</v>
      </c>
      <c r="G9">
        <v>1999</v>
      </c>
      <c r="H9">
        <v>1746</v>
      </c>
      <c r="I9" cm="1">
        <f t="array" ref="I9">(H9*0.5)*fecundity*egg.to.fry*fry.to.smolt*marine.surv</f>
        <v>1571.4</v>
      </c>
      <c r="J9">
        <f t="shared" si="5"/>
        <v>2003</v>
      </c>
      <c r="K9" s="1">
        <f t="shared" si="0"/>
        <v>702.4158000000001</v>
      </c>
      <c r="L9" s="1">
        <f t="shared" si="1"/>
        <v>28.096632000000007</v>
      </c>
      <c r="M9">
        <f t="shared" si="2"/>
        <v>2004</v>
      </c>
      <c r="N9" s="1">
        <f t="shared" si="3"/>
        <v>724.41540000000009</v>
      </c>
      <c r="O9" s="1">
        <f t="shared" si="4"/>
        <v>108.66231000000001</v>
      </c>
      <c r="P9" s="1">
        <f t="shared" si="6"/>
        <v>2005</v>
      </c>
      <c r="Q9" s="1">
        <f>I9*age6.tyee</f>
        <v>20.4282</v>
      </c>
      <c r="R9" s="1"/>
      <c r="S9" s="1"/>
      <c r="T9" s="3" t="s">
        <v>17</v>
      </c>
    </row>
    <row r="10" spans="6:24" x14ac:dyDescent="0.3">
      <c r="F10" t="s">
        <v>23</v>
      </c>
      <c r="G10">
        <v>2000</v>
      </c>
      <c r="H10">
        <v>1677</v>
      </c>
      <c r="I10" cm="1">
        <f t="array" ref="I10">(H10*0.5)*fecundity*egg.to.fry*fry.to.smolt*marine.surv</f>
        <v>1509.3</v>
      </c>
      <c r="J10">
        <f t="shared" si="5"/>
        <v>2004</v>
      </c>
      <c r="K10" s="1">
        <f t="shared" si="0"/>
        <v>674.65710000000001</v>
      </c>
      <c r="L10" s="1">
        <f t="shared" si="1"/>
        <v>26.986284000000001</v>
      </c>
      <c r="M10">
        <f t="shared" si="2"/>
        <v>2005</v>
      </c>
      <c r="N10" s="1">
        <f t="shared" si="3"/>
        <v>695.78729999999996</v>
      </c>
      <c r="O10" s="1">
        <f t="shared" si="4"/>
        <v>104.368095</v>
      </c>
      <c r="P10" s="1">
        <f t="shared" si="6"/>
        <v>2006</v>
      </c>
      <c r="Q10" s="1">
        <f>I10*age6.tyee</f>
        <v>19.620899999999999</v>
      </c>
      <c r="R10" s="1"/>
      <c r="S10" s="1"/>
      <c r="T10" s="2">
        <f>SUMIFS($L$5:$L$25,$J$5:$J$25,G10)+SUMIFS($O$5:$O$25,$M$5:$M$25,G10)+SUMIFS($Q$5:$Q$25,$P$5:$P$25,G10)</f>
        <v>94.392783000000009</v>
      </c>
    </row>
    <row r="11" spans="6:24" x14ac:dyDescent="0.3">
      <c r="F11" t="s">
        <v>23</v>
      </c>
      <c r="G11">
        <v>2001</v>
      </c>
      <c r="H11">
        <v>376</v>
      </c>
      <c r="I11" cm="1">
        <f t="array" ref="I11">(H11*0.5)*fecundity*egg.to.fry*fry.to.smolt*marine.surv</f>
        <v>338.40000000000003</v>
      </c>
      <c r="J11">
        <f>G11+4</f>
        <v>2005</v>
      </c>
      <c r="K11" s="1">
        <f>0.447*I11</f>
        <v>151.26480000000001</v>
      </c>
      <c r="L11" s="1">
        <f t="shared" si="1"/>
        <v>6.0505920000000009</v>
      </c>
      <c r="M11">
        <f t="shared" ref="M11:M25" si="7">G11+5</f>
        <v>2006</v>
      </c>
      <c r="N11" s="1">
        <f t="shared" ref="N11:N25" si="8">0.461*I11</f>
        <v>156.00240000000002</v>
      </c>
      <c r="O11" s="1">
        <f t="shared" si="4"/>
        <v>23.400360000000003</v>
      </c>
      <c r="P11" s="1">
        <f t="shared" si="6"/>
        <v>2007</v>
      </c>
      <c r="Q11" s="1">
        <f>I11*age6.tyee</f>
        <v>4.3992000000000004</v>
      </c>
      <c r="R11" s="1"/>
      <c r="S11" s="1"/>
      <c r="T11" s="2">
        <f t="shared" ref="T11:T31" si="9">SUMIFS($L$5:$L$25,$J$5:$J$25,G11)+SUMIFS($O$5:$O$25,$M$5:$M$25,G11)+SUMIFS($Q$5:$Q$25,$P$5:$P$25,G11)</f>
        <v>126.95083200000002</v>
      </c>
    </row>
    <row r="12" spans="6:24" x14ac:dyDescent="0.3">
      <c r="F12" t="s">
        <v>22</v>
      </c>
      <c r="G12">
        <v>2002</v>
      </c>
      <c r="H12">
        <v>1256</v>
      </c>
      <c r="I12" cm="1">
        <f t="array" ref="I12">(H12*0.5)*fecundity*egg.to.fry*fry.to.smolt*marine.surv</f>
        <v>1130.4000000000001</v>
      </c>
      <c r="J12">
        <f t="shared" ref="J12:J25" si="10">G12+4</f>
        <v>2006</v>
      </c>
      <c r="K12" s="1">
        <f t="shared" ref="K12:K25" si="11">0.447*I12</f>
        <v>505.28880000000004</v>
      </c>
      <c r="L12" s="1">
        <f t="shared" si="1"/>
        <v>20.211552000000005</v>
      </c>
      <c r="M12">
        <f t="shared" si="7"/>
        <v>2007</v>
      </c>
      <c r="N12" s="1">
        <f t="shared" si="8"/>
        <v>521.11440000000005</v>
      </c>
      <c r="O12" s="1">
        <f t="shared" si="4"/>
        <v>78.16716000000001</v>
      </c>
      <c r="P12" s="1">
        <f t="shared" si="6"/>
        <v>2008</v>
      </c>
      <c r="Q12" s="1">
        <f>I12*age6.tyee</f>
        <v>14.6952</v>
      </c>
      <c r="R12" s="1"/>
      <c r="S12" s="1"/>
      <c r="T12" s="2">
        <f t="shared" si="9"/>
        <v>125.55315000000002</v>
      </c>
    </row>
    <row r="13" spans="6:24" x14ac:dyDescent="0.3">
      <c r="F13" t="s">
        <v>22</v>
      </c>
      <c r="G13">
        <v>2003</v>
      </c>
      <c r="H13">
        <v>568</v>
      </c>
      <c r="I13" cm="1">
        <f t="array" ref="I13">(H13*0.5)*fecundity*egg.to.fry*fry.to.smolt*marine.surv</f>
        <v>511.2</v>
      </c>
      <c r="J13">
        <f t="shared" si="10"/>
        <v>2007</v>
      </c>
      <c r="K13" s="1">
        <f t="shared" si="11"/>
        <v>228.50639999999999</v>
      </c>
      <c r="L13" s="1">
        <f t="shared" si="1"/>
        <v>9.140255999999999</v>
      </c>
      <c r="M13">
        <f t="shared" si="7"/>
        <v>2008</v>
      </c>
      <c r="N13" s="1">
        <f t="shared" si="8"/>
        <v>235.66320000000002</v>
      </c>
      <c r="O13" s="1">
        <f t="shared" si="4"/>
        <v>35.34948</v>
      </c>
      <c r="P13" s="1">
        <f t="shared" si="6"/>
        <v>2009</v>
      </c>
      <c r="Q13" s="1">
        <f>I13*age6.tyee</f>
        <v>6.6456</v>
      </c>
      <c r="R13" s="1"/>
      <c r="S13" s="1"/>
      <c r="T13" s="2">
        <f t="shared" si="9"/>
        <v>142.87565699999999</v>
      </c>
      <c r="X13" t="s">
        <v>18</v>
      </c>
    </row>
    <row r="14" spans="6:24" x14ac:dyDescent="0.3">
      <c r="F14" t="s">
        <v>22</v>
      </c>
      <c r="G14">
        <v>2004</v>
      </c>
      <c r="H14">
        <v>1199</v>
      </c>
      <c r="I14" cm="1">
        <f t="array" ref="I14">(H14*0.5)*fecundity*egg.to.fry*fry.to.smolt*marine.surv</f>
        <v>1079.0999999999999</v>
      </c>
      <c r="J14">
        <f t="shared" si="10"/>
        <v>2008</v>
      </c>
      <c r="K14" s="1">
        <f t="shared" si="11"/>
        <v>482.35769999999997</v>
      </c>
      <c r="L14" s="1">
        <f t="shared" si="1"/>
        <v>19.294308000000001</v>
      </c>
      <c r="M14">
        <f t="shared" si="7"/>
        <v>2009</v>
      </c>
      <c r="N14" s="1">
        <f t="shared" si="8"/>
        <v>497.46510000000001</v>
      </c>
      <c r="O14" s="1">
        <f t="shared" si="4"/>
        <v>74.619765000000001</v>
      </c>
      <c r="P14" s="1">
        <f t="shared" si="6"/>
        <v>2010</v>
      </c>
      <c r="Q14" s="1">
        <f>I14*age6.tyee</f>
        <v>14.028299999999998</v>
      </c>
      <c r="R14" s="1"/>
      <c r="S14" s="1"/>
      <c r="T14" s="2">
        <f t="shared" si="9"/>
        <v>154.31009399999999</v>
      </c>
    </row>
    <row r="15" spans="6:24" x14ac:dyDescent="0.3">
      <c r="F15" t="s">
        <v>22</v>
      </c>
      <c r="G15">
        <v>2005</v>
      </c>
      <c r="H15">
        <v>517</v>
      </c>
      <c r="I15" cm="1">
        <f t="array" ref="I15">(H15*0.5)*fecundity*egg.to.fry*fry.to.smolt*marine.surv</f>
        <v>465.3</v>
      </c>
      <c r="J15">
        <f t="shared" si="10"/>
        <v>2009</v>
      </c>
      <c r="K15" s="1">
        <f t="shared" si="11"/>
        <v>207.98910000000001</v>
      </c>
      <c r="L15" s="1">
        <f t="shared" si="1"/>
        <v>8.3195640000000015</v>
      </c>
      <c r="M15">
        <f t="shared" si="7"/>
        <v>2010</v>
      </c>
      <c r="N15" s="1">
        <f t="shared" si="8"/>
        <v>214.50330000000002</v>
      </c>
      <c r="O15" s="1">
        <f t="shared" si="4"/>
        <v>32.175495000000005</v>
      </c>
      <c r="P15" s="1">
        <f t="shared" si="6"/>
        <v>2011</v>
      </c>
      <c r="Q15" s="1">
        <f>I15*age6.tyee</f>
        <v>6.0488999999999997</v>
      </c>
      <c r="R15" s="1"/>
      <c r="S15" s="1"/>
      <c r="T15" s="2">
        <f t="shared" si="9"/>
        <v>130.84688699999998</v>
      </c>
    </row>
    <row r="16" spans="6:24" x14ac:dyDescent="0.3">
      <c r="F16" t="s">
        <v>22</v>
      </c>
      <c r="G16">
        <v>2006</v>
      </c>
      <c r="H16">
        <v>1422</v>
      </c>
      <c r="I16" cm="1">
        <f t="array" ref="I16">(H16*0.5)*fecundity*egg.to.fry*fry.to.smolt*marine.surv</f>
        <v>1279.8</v>
      </c>
      <c r="J16">
        <f t="shared" si="10"/>
        <v>2010</v>
      </c>
      <c r="K16" s="1">
        <f t="shared" si="11"/>
        <v>572.07060000000001</v>
      </c>
      <c r="L16" s="1">
        <f t="shared" si="1"/>
        <v>22.882824000000003</v>
      </c>
      <c r="M16">
        <f t="shared" si="7"/>
        <v>2011</v>
      </c>
      <c r="N16" s="1">
        <f t="shared" si="8"/>
        <v>589.98779999999999</v>
      </c>
      <c r="O16" s="1">
        <f t="shared" si="4"/>
        <v>88.498170000000002</v>
      </c>
      <c r="P16" s="1">
        <f t="shared" si="6"/>
        <v>2012</v>
      </c>
      <c r="Q16" s="1">
        <f>I16*age6.tyee</f>
        <v>16.6374</v>
      </c>
      <c r="R16" s="1"/>
      <c r="S16" s="1"/>
      <c r="T16" s="2">
        <f t="shared" si="9"/>
        <v>63.232812000000003</v>
      </c>
    </row>
    <row r="17" spans="6:20" x14ac:dyDescent="0.3">
      <c r="F17" t="s">
        <v>22</v>
      </c>
      <c r="G17">
        <v>2007</v>
      </c>
      <c r="H17">
        <v>650</v>
      </c>
      <c r="I17" cm="1">
        <f t="array" ref="I17">(H17*0.5)*fecundity*egg.to.fry*fry.to.smolt*marine.surv</f>
        <v>585</v>
      </c>
      <c r="J17">
        <f t="shared" si="10"/>
        <v>2011</v>
      </c>
      <c r="K17" s="1">
        <f t="shared" si="11"/>
        <v>261.495</v>
      </c>
      <c r="L17" s="1">
        <f t="shared" si="1"/>
        <v>10.459800000000001</v>
      </c>
      <c r="M17">
        <f t="shared" si="7"/>
        <v>2012</v>
      </c>
      <c r="N17" s="1">
        <f t="shared" si="8"/>
        <v>269.685</v>
      </c>
      <c r="O17" s="1">
        <f t="shared" si="4"/>
        <v>40.452750000000002</v>
      </c>
      <c r="P17" s="1">
        <f t="shared" si="6"/>
        <v>2013</v>
      </c>
      <c r="Q17" s="1">
        <f>I17*age6.tyee</f>
        <v>7.6049999999999995</v>
      </c>
      <c r="R17" s="1"/>
      <c r="S17" s="1"/>
      <c r="T17" s="2">
        <f t="shared" si="9"/>
        <v>91.706615999999997</v>
      </c>
    </row>
    <row r="18" spans="6:20" x14ac:dyDescent="0.3">
      <c r="F18" t="s">
        <v>22</v>
      </c>
      <c r="G18">
        <v>2008</v>
      </c>
      <c r="H18">
        <v>653</v>
      </c>
      <c r="I18" cm="1">
        <f t="array" ref="I18">(H18*0.5)*fecundity*egg.to.fry*fry.to.smolt*marine.surv</f>
        <v>587.70000000000005</v>
      </c>
      <c r="J18">
        <f t="shared" si="10"/>
        <v>2012</v>
      </c>
      <c r="K18" s="1">
        <f t="shared" si="11"/>
        <v>262.70190000000002</v>
      </c>
      <c r="L18" s="1">
        <f t="shared" si="1"/>
        <v>10.508076000000003</v>
      </c>
      <c r="M18">
        <f t="shared" si="7"/>
        <v>2013</v>
      </c>
      <c r="N18" s="1">
        <f t="shared" si="8"/>
        <v>270.92970000000003</v>
      </c>
      <c r="O18" s="1">
        <f t="shared" si="4"/>
        <v>40.639455000000005</v>
      </c>
      <c r="P18" s="1">
        <f t="shared" si="6"/>
        <v>2014</v>
      </c>
      <c r="Q18" s="1">
        <f>I18*age6.tyee</f>
        <v>7.6401000000000003</v>
      </c>
      <c r="R18" s="1"/>
      <c r="S18" s="1"/>
      <c r="T18" s="2">
        <f t="shared" si="9"/>
        <v>69.338988000000001</v>
      </c>
    </row>
    <row r="19" spans="6:20" x14ac:dyDescent="0.3">
      <c r="F19" t="s">
        <v>22</v>
      </c>
      <c r="G19">
        <v>2009</v>
      </c>
      <c r="H19">
        <v>1212</v>
      </c>
      <c r="I19" cm="1">
        <f t="array" ref="I19">(H19*0.5)*fecundity*egg.to.fry*fry.to.smolt*marine.surv</f>
        <v>1090.8</v>
      </c>
      <c r="J19">
        <f t="shared" si="10"/>
        <v>2013</v>
      </c>
      <c r="K19" s="1">
        <f t="shared" si="11"/>
        <v>487.58760000000001</v>
      </c>
      <c r="L19" s="1">
        <f t="shared" si="1"/>
        <v>19.503504000000003</v>
      </c>
      <c r="M19">
        <f t="shared" si="7"/>
        <v>2014</v>
      </c>
      <c r="N19" s="1">
        <f t="shared" si="8"/>
        <v>502.85879999999997</v>
      </c>
      <c r="O19" s="1">
        <f t="shared" si="4"/>
        <v>75.428819999999988</v>
      </c>
      <c r="P19" s="1">
        <f t="shared" si="6"/>
        <v>2015</v>
      </c>
      <c r="Q19" s="1">
        <f>I19*age6.tyee</f>
        <v>14.180399999999999</v>
      </c>
      <c r="R19" s="1"/>
      <c r="S19" s="1"/>
      <c r="T19" s="2">
        <f t="shared" si="9"/>
        <v>89.584929000000002</v>
      </c>
    </row>
    <row r="20" spans="6:20" x14ac:dyDescent="0.3">
      <c r="F20" t="s">
        <v>22</v>
      </c>
      <c r="G20">
        <v>2010</v>
      </c>
      <c r="H20">
        <v>892</v>
      </c>
      <c r="I20" cm="1">
        <f t="array" ref="I20">(H20*0.5)*fecundity*egg.to.fry*fry.to.smolt*marine.surv</f>
        <v>802.80000000000007</v>
      </c>
      <c r="J20">
        <f t="shared" si="10"/>
        <v>2014</v>
      </c>
      <c r="K20" s="1">
        <f t="shared" si="11"/>
        <v>358.85160000000002</v>
      </c>
      <c r="L20" s="1">
        <f t="shared" si="1"/>
        <v>14.354064000000003</v>
      </c>
      <c r="M20">
        <f t="shared" si="7"/>
        <v>2015</v>
      </c>
      <c r="N20" s="1">
        <f t="shared" si="8"/>
        <v>370.09080000000006</v>
      </c>
      <c r="O20" s="1">
        <f t="shared" si="4"/>
        <v>55.51362000000001</v>
      </c>
      <c r="P20" s="1">
        <f t="shared" si="6"/>
        <v>2016</v>
      </c>
      <c r="Q20" s="1">
        <f>I20*age6.tyee</f>
        <v>10.436400000000001</v>
      </c>
      <c r="R20" s="1"/>
      <c r="S20" s="1"/>
      <c r="T20" s="2">
        <f t="shared" si="9"/>
        <v>69.086619000000013</v>
      </c>
    </row>
    <row r="21" spans="6:20" x14ac:dyDescent="0.3">
      <c r="F21" t="s">
        <v>22</v>
      </c>
      <c r="G21">
        <v>2011</v>
      </c>
      <c r="H21">
        <v>653</v>
      </c>
      <c r="I21" cm="1">
        <f t="array" ref="I21">(H21*0.5)*fecundity*egg.to.fry*fry.to.smolt*marine.surv</f>
        <v>587.70000000000005</v>
      </c>
      <c r="J21">
        <f t="shared" si="10"/>
        <v>2015</v>
      </c>
      <c r="K21" s="1">
        <f t="shared" si="11"/>
        <v>262.70190000000002</v>
      </c>
      <c r="L21" s="1">
        <f t="shared" si="1"/>
        <v>10.508076000000003</v>
      </c>
      <c r="M21">
        <f t="shared" si="7"/>
        <v>2016</v>
      </c>
      <c r="N21" s="1">
        <f t="shared" si="8"/>
        <v>270.92970000000003</v>
      </c>
      <c r="O21" s="1">
        <f t="shared" si="4"/>
        <v>40.639455000000005</v>
      </c>
      <c r="P21" s="1">
        <f t="shared" si="6"/>
        <v>2017</v>
      </c>
      <c r="Q21" s="1">
        <f>I21*age6.tyee</f>
        <v>7.6401000000000003</v>
      </c>
      <c r="R21" s="1"/>
      <c r="S21" s="1"/>
      <c r="T21" s="2">
        <f t="shared" si="9"/>
        <v>105.00687000000001</v>
      </c>
    </row>
    <row r="22" spans="6:20" x14ac:dyDescent="0.3">
      <c r="F22" t="s">
        <v>22</v>
      </c>
      <c r="G22">
        <v>2012</v>
      </c>
      <c r="H22">
        <v>1106</v>
      </c>
      <c r="I22" cm="1">
        <f t="array" ref="I22">(H22*0.5)*fecundity*egg.to.fry*fry.to.smolt*marine.surv</f>
        <v>995.4</v>
      </c>
      <c r="J22">
        <f t="shared" si="10"/>
        <v>2016</v>
      </c>
      <c r="K22" s="1">
        <f t="shared" si="11"/>
        <v>444.94380000000001</v>
      </c>
      <c r="L22" s="1">
        <f t="shared" si="1"/>
        <v>17.797752000000003</v>
      </c>
      <c r="M22">
        <f t="shared" si="7"/>
        <v>2017</v>
      </c>
      <c r="N22" s="1">
        <f t="shared" si="8"/>
        <v>458.87940000000003</v>
      </c>
      <c r="O22" s="1">
        <f t="shared" si="4"/>
        <v>68.831910000000008</v>
      </c>
      <c r="P22" s="1">
        <f t="shared" si="6"/>
        <v>2018</v>
      </c>
      <c r="Q22" s="1">
        <f>I22*age6.tyee</f>
        <v>12.940199999999999</v>
      </c>
      <c r="R22" s="1"/>
      <c r="S22" s="1"/>
      <c r="T22" s="2">
        <f t="shared" si="9"/>
        <v>67.598226000000011</v>
      </c>
    </row>
    <row r="23" spans="6:20" x14ac:dyDescent="0.3">
      <c r="F23" t="s">
        <v>22</v>
      </c>
      <c r="G23">
        <v>2013</v>
      </c>
      <c r="H23">
        <v>1124</v>
      </c>
      <c r="I23" cm="1">
        <f t="array" ref="I23">(H23*0.5)*fecundity*egg.to.fry*fry.to.smolt*marine.surv</f>
        <v>1011.6</v>
      </c>
      <c r="J23">
        <f t="shared" si="10"/>
        <v>2017</v>
      </c>
      <c r="K23" s="1">
        <f t="shared" si="11"/>
        <v>452.18520000000001</v>
      </c>
      <c r="L23" s="1">
        <f t="shared" si="1"/>
        <v>18.087408000000003</v>
      </c>
      <c r="M23">
        <f t="shared" si="7"/>
        <v>2018</v>
      </c>
      <c r="N23" s="1">
        <f t="shared" si="8"/>
        <v>466.34760000000006</v>
      </c>
      <c r="O23" s="1">
        <f t="shared" si="4"/>
        <v>69.95214</v>
      </c>
      <c r="P23" s="1">
        <f t="shared" si="6"/>
        <v>2019</v>
      </c>
      <c r="Q23" s="1">
        <f>I23*age6.tyee</f>
        <v>13.1508</v>
      </c>
      <c r="R23" s="1"/>
      <c r="S23" s="1"/>
      <c r="T23" s="2">
        <f t="shared" si="9"/>
        <v>67.747959000000009</v>
      </c>
    </row>
    <row r="24" spans="6:20" x14ac:dyDescent="0.3">
      <c r="F24" t="s">
        <v>22</v>
      </c>
      <c r="G24">
        <v>2014</v>
      </c>
      <c r="H24">
        <v>353</v>
      </c>
      <c r="I24" cm="1">
        <f t="array" ref="I24">(H24*0.5)*fecundity*egg.to.fry*fry.to.smolt*marine.surv</f>
        <v>317.7</v>
      </c>
      <c r="J24">
        <f t="shared" si="10"/>
        <v>2018</v>
      </c>
      <c r="K24" s="1">
        <f t="shared" si="11"/>
        <v>142.0119</v>
      </c>
      <c r="L24" s="1">
        <f t="shared" si="1"/>
        <v>5.6804760000000005</v>
      </c>
      <c r="M24">
        <f t="shared" si="7"/>
        <v>2019</v>
      </c>
      <c r="N24" s="1">
        <f t="shared" si="8"/>
        <v>146.4597</v>
      </c>
      <c r="O24" s="1">
        <f t="shared" si="4"/>
        <v>21.968954999999998</v>
      </c>
      <c r="P24" s="1">
        <f t="shared" si="6"/>
        <v>2020</v>
      </c>
      <c r="Q24" s="1">
        <f>I24*age6.tyee</f>
        <v>4.1300999999999997</v>
      </c>
      <c r="R24" s="1"/>
      <c r="S24" s="1"/>
      <c r="T24" s="2">
        <f t="shared" si="9"/>
        <v>97.422984</v>
      </c>
    </row>
    <row r="25" spans="6:20" x14ac:dyDescent="0.3">
      <c r="F25" t="s">
        <v>22</v>
      </c>
      <c r="G25">
        <v>2015</v>
      </c>
      <c r="H25">
        <v>832</v>
      </c>
      <c r="I25" cm="1">
        <f t="array" ref="I25">(H25*0.5)*fecundity*egg.to.fry*fry.to.smolt*marine.surv</f>
        <v>748.80000000000007</v>
      </c>
      <c r="J25">
        <f t="shared" si="10"/>
        <v>2019</v>
      </c>
      <c r="K25" s="1">
        <f t="shared" si="11"/>
        <v>334.71360000000004</v>
      </c>
      <c r="L25" s="1">
        <f t="shared" si="1"/>
        <v>13.388544000000003</v>
      </c>
      <c r="M25">
        <f t="shared" si="7"/>
        <v>2020</v>
      </c>
      <c r="N25" s="1">
        <f t="shared" si="8"/>
        <v>345.19680000000005</v>
      </c>
      <c r="O25" s="1">
        <f t="shared" si="4"/>
        <v>51.779520000000005</v>
      </c>
      <c r="P25" s="1">
        <f t="shared" si="6"/>
        <v>2021</v>
      </c>
      <c r="Q25" s="1">
        <f>I25*age6.tyee</f>
        <v>9.7344000000000008</v>
      </c>
      <c r="R25" s="1"/>
      <c r="S25" s="1"/>
      <c r="T25" s="2">
        <f t="shared" si="9"/>
        <v>80.202096000000012</v>
      </c>
    </row>
    <row r="26" spans="6:20" x14ac:dyDescent="0.3">
      <c r="F26" t="s">
        <v>22</v>
      </c>
      <c r="G26">
        <v>2016</v>
      </c>
      <c r="H26">
        <v>679</v>
      </c>
      <c r="I26" cm="1">
        <f t="array" ref="I26">(H26*0.5)*fecundity*egg.to.fry*fry.to.smolt*marine.surv</f>
        <v>611.1</v>
      </c>
      <c r="J26">
        <f t="shared" ref="J26:J31" si="12">G26+4</f>
        <v>2020</v>
      </c>
      <c r="K26" s="1">
        <f t="shared" ref="K26:K31" si="13">0.447*I26</f>
        <v>273.1617</v>
      </c>
      <c r="L26" s="1">
        <f t="shared" si="1"/>
        <v>10.926468</v>
      </c>
      <c r="M26">
        <f t="shared" ref="M26:M31" si="14">G26+5</f>
        <v>2021</v>
      </c>
      <c r="N26" s="1">
        <f t="shared" ref="N26:N31" si="15">0.461*I26</f>
        <v>281.71710000000002</v>
      </c>
      <c r="O26" s="1">
        <f t="shared" si="4"/>
        <v>42.257565</v>
      </c>
      <c r="P26" s="1">
        <f t="shared" ref="P26:P31" si="16">G26+6</f>
        <v>2022</v>
      </c>
      <c r="Q26" s="1">
        <f>I26*age6.tyee</f>
        <v>7.9443000000000001</v>
      </c>
      <c r="T26" s="2">
        <f t="shared" si="9"/>
        <v>68.873607000000007</v>
      </c>
    </row>
    <row r="27" spans="6:20" x14ac:dyDescent="0.3">
      <c r="F27" t="s">
        <v>22</v>
      </c>
      <c r="G27">
        <v>2017</v>
      </c>
      <c r="H27">
        <v>656</v>
      </c>
      <c r="I27" cm="1">
        <f t="array" ref="I27">(H27*0.5)*fecundity*egg.to.fry*fry.to.smolt*marine.surv</f>
        <v>590.4</v>
      </c>
      <c r="J27">
        <f t="shared" si="12"/>
        <v>2021</v>
      </c>
      <c r="K27" s="1">
        <f t="shared" si="13"/>
        <v>263.90879999999999</v>
      </c>
      <c r="L27" s="1">
        <f t="shared" si="1"/>
        <v>10.556352</v>
      </c>
      <c r="M27">
        <f t="shared" si="14"/>
        <v>2022</v>
      </c>
      <c r="N27" s="1">
        <f t="shared" si="15"/>
        <v>272.17439999999999</v>
      </c>
      <c r="O27" s="1">
        <f t="shared" si="4"/>
        <v>40.826159999999994</v>
      </c>
      <c r="P27" s="1">
        <f t="shared" si="16"/>
        <v>2023</v>
      </c>
      <c r="Q27" s="1">
        <f>I27*age6.tyee</f>
        <v>7.6751999999999994</v>
      </c>
      <c r="T27" s="2">
        <f t="shared" si="9"/>
        <v>94.559418000000008</v>
      </c>
    </row>
    <row r="28" spans="6:20" x14ac:dyDescent="0.3">
      <c r="F28" t="s">
        <v>22</v>
      </c>
      <c r="G28">
        <v>2018</v>
      </c>
      <c r="H28">
        <v>665</v>
      </c>
      <c r="I28" cm="1">
        <f t="array" ref="I28">(H28*0.5)*fecundity*egg.to.fry*fry.to.smolt*marine.surv</f>
        <v>598.5</v>
      </c>
      <c r="J28">
        <f t="shared" si="12"/>
        <v>2022</v>
      </c>
      <c r="K28" s="1">
        <f t="shared" si="13"/>
        <v>267.52949999999998</v>
      </c>
      <c r="L28" s="1">
        <f t="shared" si="1"/>
        <v>10.701180000000001</v>
      </c>
      <c r="M28">
        <f t="shared" si="14"/>
        <v>2023</v>
      </c>
      <c r="N28" s="1">
        <f t="shared" si="15"/>
        <v>275.9085</v>
      </c>
      <c r="O28" s="1">
        <f t="shared" si="4"/>
        <v>41.386274999999998</v>
      </c>
      <c r="P28" s="1">
        <f t="shared" si="16"/>
        <v>2024</v>
      </c>
      <c r="Q28" s="1">
        <f>I28*age6.tyee</f>
        <v>7.7805</v>
      </c>
      <c r="T28" s="2">
        <f t="shared" si="9"/>
        <v>88.572816000000003</v>
      </c>
    </row>
    <row r="29" spans="6:20" x14ac:dyDescent="0.3">
      <c r="F29" t="s">
        <v>22</v>
      </c>
      <c r="G29">
        <v>2019</v>
      </c>
      <c r="H29">
        <v>723</v>
      </c>
      <c r="I29" cm="1">
        <f t="array" ref="I29">(H29*0.5)*fecundity*egg.to.fry*fry.to.smolt*marine.surv</f>
        <v>650.70000000000005</v>
      </c>
      <c r="J29">
        <f t="shared" si="12"/>
        <v>2023</v>
      </c>
      <c r="K29" s="1">
        <f t="shared" si="13"/>
        <v>290.86290000000002</v>
      </c>
      <c r="L29" s="1">
        <f t="shared" si="1"/>
        <v>11.634516000000003</v>
      </c>
      <c r="M29">
        <f t="shared" si="14"/>
        <v>2024</v>
      </c>
      <c r="N29" s="1">
        <f t="shared" si="15"/>
        <v>299.97270000000003</v>
      </c>
      <c r="O29" s="1">
        <f t="shared" si="4"/>
        <v>44.995905</v>
      </c>
      <c r="P29" s="1">
        <f t="shared" si="16"/>
        <v>2025</v>
      </c>
      <c r="Q29" s="1">
        <f>I29*age6.tyee</f>
        <v>8.4590999999999994</v>
      </c>
      <c r="T29" s="2">
        <f t="shared" si="9"/>
        <v>48.508299000000008</v>
      </c>
    </row>
    <row r="30" spans="6:20" x14ac:dyDescent="0.3">
      <c r="F30" t="s">
        <v>22</v>
      </c>
      <c r="G30">
        <v>2020</v>
      </c>
      <c r="H30">
        <v>1804</v>
      </c>
      <c r="I30" cm="1">
        <f t="array" ref="I30">(H30*0.5)*fecundity*egg.to.fry*fry.to.smolt*marine.surv</f>
        <v>1623.6000000000001</v>
      </c>
      <c r="J30">
        <f t="shared" si="12"/>
        <v>2024</v>
      </c>
      <c r="K30" s="1">
        <f t="shared" si="13"/>
        <v>725.74920000000009</v>
      </c>
      <c r="L30" s="1">
        <f t="shared" si="1"/>
        <v>29.029968000000004</v>
      </c>
      <c r="M30">
        <f t="shared" si="14"/>
        <v>2025</v>
      </c>
      <c r="N30" s="1">
        <f t="shared" si="15"/>
        <v>748.47960000000012</v>
      </c>
      <c r="O30" s="1">
        <f t="shared" si="4"/>
        <v>112.27194000000001</v>
      </c>
      <c r="P30" s="1">
        <f t="shared" si="16"/>
        <v>2026</v>
      </c>
      <c r="Q30" s="1">
        <f>I30*age6.tyee</f>
        <v>21.1068</v>
      </c>
      <c r="T30" s="2">
        <f t="shared" si="9"/>
        <v>55.909620000000004</v>
      </c>
    </row>
    <row r="31" spans="6:20" x14ac:dyDescent="0.3">
      <c r="F31" t="s">
        <v>22</v>
      </c>
      <c r="G31">
        <v>2021</v>
      </c>
      <c r="H31">
        <v>1797</v>
      </c>
      <c r="I31" cm="1">
        <f t="array" ref="I31">(H31*0.5)*fecundity*egg.to.fry*fry.to.smolt*marine.surv</f>
        <v>1617.3</v>
      </c>
      <c r="J31">
        <f t="shared" si="12"/>
        <v>2025</v>
      </c>
      <c r="K31" s="1">
        <f t="shared" si="13"/>
        <v>722.93309999999997</v>
      </c>
      <c r="L31" s="1">
        <f t="shared" si="1"/>
        <v>28.917324000000004</v>
      </c>
      <c r="M31">
        <f t="shared" si="14"/>
        <v>2026</v>
      </c>
      <c r="N31" s="1">
        <f t="shared" si="15"/>
        <v>745.57529999999997</v>
      </c>
      <c r="O31" s="1">
        <f t="shared" si="4"/>
        <v>111.83629499999999</v>
      </c>
      <c r="P31" s="1">
        <f t="shared" si="16"/>
        <v>2027</v>
      </c>
      <c r="Q31" s="1">
        <f>I31*age6.tyee</f>
        <v>21.024899999999999</v>
      </c>
      <c r="T31" s="2">
        <f>SUMIFS($L$5:$L$31,$J$5:$J$31,G31)+SUMIFS($O$5:$O$31,$M$5:$M$31,G31)+SUMIFS($Q$5:$Q$31,$P$5:$P$31,G31)</f>
        <v>62.548317000000004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age4.male</vt:lpstr>
      <vt:lpstr>age4.male.tyee</vt:lpstr>
      <vt:lpstr>age5.tyee</vt:lpstr>
      <vt:lpstr>age6.tyee</vt:lpstr>
      <vt:lpstr>egg.to.fry</vt:lpstr>
      <vt:lpstr>fecundity</vt:lpstr>
      <vt:lpstr>fry.to.smolt</vt:lpstr>
      <vt:lpstr>marine.surv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2023-07-01T22:53:14Z</dcterms:created>
  <dcterms:modified xsi:type="dcterms:W3CDTF">2023-07-02T07:28:36Z</dcterms:modified>
</cp:coreProperties>
</file>